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30" windowWidth="20730" windowHeight="10965" tabRatio="768" activeTab="1"/>
  </bookViews>
  <sheets>
    <sheet name="BCA Summary" sheetId="12" r:id="rId1"/>
    <sheet name="Safety" sheetId="23" r:id="rId2"/>
    <sheet name="State of Good Repair" sheetId="7" r:id="rId3"/>
    <sheet name="Economic Competitiveness" sheetId="4" r:id="rId4"/>
    <sheet name="Environmental Sustainability" sheetId="17" r:id="rId5"/>
    <sheet name="Quality of Life" sheetId="34" r:id="rId6"/>
    <sheet name="Capital Costs" sheetId="8" r:id="rId7"/>
    <sheet name="Population Figures" sheetId="38" r:id="rId8"/>
    <sheet name="BLS Data Series" sheetId="33" r:id="rId9"/>
    <sheet name="Crash Analysis" sheetId="39" r:id="rId10"/>
    <sheet name="Sales Tax and EDD Revenues" sheetId="40" r:id="rId11"/>
  </sheets>
  <externalReferences>
    <externalReference r:id="rId12"/>
  </externalReferences>
  <definedNames>
    <definedName name="Annual_Traffic_Growth_Rate">'[1]START Assumptions'!$B$39</definedName>
    <definedName name="Auto_Occ">'[1]START Assumptions'!#REF!</definedName>
    <definedName name="Auto_Op_Cost">'[1]START Assumptions'!$B$37</definedName>
    <definedName name="Ave_Fatal_Cost">'[1]START Assumptions'!#REF!</definedName>
    <definedName name="Ave_PD_Cost">'[1]START Assumptions'!#REF!</definedName>
    <definedName name="Ave_Type_A_Cost">'[1]START Assumptions'!#REF!</definedName>
    <definedName name="Ave_Type_B_Cost">'[1]START Assumptions'!#REF!</definedName>
    <definedName name="Ave_Type_C_Cost">'[1]START Assumptions'!#REF!</definedName>
    <definedName name="Ave_Type_Fatal_Cost">'[1]START Assumptions'!#REF!</definedName>
    <definedName name="Ave_Type_PD_Cost">'[1]START Assumptions'!#REF!</definedName>
    <definedName name="Avg_Crash_Cost">'[1]START Assumptions'!#REF!</definedName>
    <definedName name="Base_Year">'[1]START Assumptions'!$B$31</definedName>
    <definedName name="Base_Year_Traffic">'[1]START Assumptions'!#REF!</definedName>
    <definedName name="Benefit_Period">'[1]START Assumptions'!$B$33</definedName>
    <definedName name="Const_Comp_Year">'[1]START Assumptions'!$B$32</definedName>
    <definedName name="Crash_Rate_AC">'[1]START Assumptions'!#REF!</definedName>
    <definedName name="Crash_Rate_BC">'[1]START Assumptions'!#REF!</definedName>
    <definedName name="Discount_Rate">'[1]START Assumptions'!$B$35</definedName>
    <definedName name="Fatal_Crash_Cost">'[1]START Assumptions'!#REF!</definedName>
    <definedName name="Fatal_Crash_Rate_AC">'[1]START Assumptions'!#REF!</definedName>
    <definedName name="Fatal_Crash_Rate_BC">'[1]START Assumptions'!#REF!</definedName>
    <definedName name="HCV_Cost_Op">'[1]START Assumptions'!#REF!</definedName>
    <definedName name="HCV_Density_AC">'[1]START Assumptions'!#REF!</definedName>
    <definedName name="HCV_Density_BC">'[1]START Assumptions'!#REF!</definedName>
    <definedName name="HCV_Occ">'[1]START Assumptions'!#REF!</definedName>
    <definedName name="HCV_Value_of_Time">'[1]START Assumptions'!#REF!</definedName>
    <definedName name="Injury_Crash_Cost">'[1]START Assumptions'!#REF!</definedName>
    <definedName name="Injury_Crash_Rate_AC">'[1]START Assumptions'!#REF!</definedName>
    <definedName name="Injury_Crash_Rate_BC">'[1]START Assumptions'!#REF!</definedName>
    <definedName name="Length_AC">'[1]START Assumptions'!#REF!</definedName>
    <definedName name="Length_BC">'[1]START Assumptions'!#REF!</definedName>
    <definedName name="NPV_Costs">'[1]START Costs'!$I$5</definedName>
    <definedName name="NPV_Distance">'[1]START Distance Benefit'!#REF!</definedName>
    <definedName name="NPV_maint">'[1]START Costs'!$L$5</definedName>
    <definedName name="NPV_Safety">#REF!</definedName>
    <definedName name="NPV_Time">#REF!</definedName>
    <definedName name="PD_Crash_Cost">'[1]START Assumptions'!#REF!</definedName>
    <definedName name="PD_Crash_Rate_AC">'[1]START Assumptions'!#REF!</definedName>
    <definedName name="PD_Crash_Rate_BC">'[1]START Assumptions'!#REF!</definedName>
    <definedName name="_xlnm.Print_Area" localSheetId="0">'BCA Summary'!$A$1:$O$40</definedName>
    <definedName name="_xlnm.Print_Area" localSheetId="8">'BLS Data Series'!$A$1:$P$36</definedName>
    <definedName name="_xlnm.Print_Area" localSheetId="6">'Capital Costs'!$A$1:$P$42</definedName>
    <definedName name="_xlnm.Print_Area" localSheetId="3">'Economic Competitiveness'!$A$1:$Z$60</definedName>
    <definedName name="_xlnm.Print_Area" localSheetId="4">'Environmental Sustainability'!$A$1:$U$50</definedName>
    <definedName name="_xlnm.Print_Area" localSheetId="7">'Population Figures'!$A$1:$N$46</definedName>
    <definedName name="_xlnm.Print_Area" localSheetId="5">'Quality of Life'!$A$1:$S$49</definedName>
    <definedName name="_xlnm.Print_Area" localSheetId="1">Safety!$A$1:$R$55</definedName>
    <definedName name="_xlnm.Print_Area" localSheetId="10">'Sales Tax and EDD Revenues'!$A$1:$Q$114</definedName>
    <definedName name="_xlnm.Print_Area" localSheetId="2">'State of Good Repair'!$A$1:$P$51</definedName>
    <definedName name="Prop_Dam_Crash_Cost">'[1]START Assumptions'!#REF!</definedName>
    <definedName name="Speed_AC">'[1]START Assumptions'!#REF!</definedName>
    <definedName name="Speed_BC">'[1]START Assumptions'!#REF!</definedName>
    <definedName name="Type_A_Crash_Rate_AC">'[1]START Assumptions'!#REF!</definedName>
    <definedName name="Type_A_Crash_Rate_BC">'[1]START Assumptions'!#REF!</definedName>
    <definedName name="Type_B_Crash_Rate_AC">'[1]START Assumptions'!#REF!</definedName>
    <definedName name="Type_B_Crash_Rate_BC">'[1]START Assumptions'!#REF!</definedName>
    <definedName name="Type_C_Crash_Rate_AC">'[1]START Assumptions'!#REF!</definedName>
    <definedName name="Type_C_Crash_Rate_BC">'[1]START Assumptions'!#REF!</definedName>
    <definedName name="Type_Fatal_Crash_Rate_AC">'[1]START Assumptions'!#REF!</definedName>
    <definedName name="Type_Fatal_Crash_Rate_BC">'[1]START Assumptions'!#REF!</definedName>
    <definedName name="Type_PD_Crash_Rate_AC">'[1]START Assumptions'!#REF!</definedName>
    <definedName name="Type_PD_Crash_Rate_BC">'[1]START Assumptions'!#REF!</definedName>
  </definedNames>
  <calcPr calcId="145621"/>
</workbook>
</file>

<file path=xl/calcChain.xml><?xml version="1.0" encoding="utf-8"?>
<calcChain xmlns="http://schemas.openxmlformats.org/spreadsheetml/2006/main">
  <c r="G18" i="23" l="1"/>
  <c r="G19" i="23"/>
  <c r="G20" i="23"/>
  <c r="G21" i="23"/>
  <c r="G22" i="23"/>
  <c r="G23" i="23"/>
  <c r="G24" i="23"/>
  <c r="G25" i="23"/>
  <c r="G26" i="23"/>
  <c r="G27" i="23"/>
  <c r="G28" i="23"/>
  <c r="G29" i="23"/>
  <c r="G30" i="23"/>
  <c r="G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17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15" i="23"/>
  <c r="F8" i="40" l="1"/>
  <c r="F11" i="40"/>
  <c r="F12" i="40"/>
  <c r="F15" i="40"/>
  <c r="F16" i="40"/>
  <c r="F19" i="40"/>
  <c r="F20" i="40"/>
  <c r="F23" i="40"/>
  <c r="F24" i="40"/>
  <c r="F27" i="40"/>
  <c r="F7" i="40"/>
  <c r="E11" i="40"/>
  <c r="E15" i="40"/>
  <c r="E19" i="40"/>
  <c r="E23" i="40"/>
  <c r="E27" i="40"/>
  <c r="D8" i="40"/>
  <c r="E8" i="40" s="1"/>
  <c r="D9" i="40"/>
  <c r="D29" i="40" s="1"/>
  <c r="D10" i="40"/>
  <c r="E10" i="40" s="1"/>
  <c r="D11" i="40"/>
  <c r="D12" i="40"/>
  <c r="E12" i="40" s="1"/>
  <c r="D13" i="40"/>
  <c r="E13" i="40" s="1"/>
  <c r="D14" i="40"/>
  <c r="E14" i="40" s="1"/>
  <c r="D15" i="40"/>
  <c r="D16" i="40"/>
  <c r="E16" i="40" s="1"/>
  <c r="D17" i="40"/>
  <c r="E17" i="40" s="1"/>
  <c r="D18" i="40"/>
  <c r="E18" i="40" s="1"/>
  <c r="D19" i="40"/>
  <c r="D20" i="40"/>
  <c r="E20" i="40" s="1"/>
  <c r="D21" i="40"/>
  <c r="F21" i="40" s="1"/>
  <c r="D22" i="40"/>
  <c r="F22" i="40" s="1"/>
  <c r="D23" i="40"/>
  <c r="D24" i="40"/>
  <c r="E24" i="40" s="1"/>
  <c r="D25" i="40"/>
  <c r="E25" i="40" s="1"/>
  <c r="D26" i="40"/>
  <c r="E26" i="40" s="1"/>
  <c r="D27" i="40"/>
  <c r="D7" i="40"/>
  <c r="D28" i="40" s="1"/>
  <c r="J11" i="23"/>
  <c r="J12" i="23"/>
  <c r="J13" i="23"/>
  <c r="J14" i="23"/>
  <c r="J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10" i="23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7" i="7"/>
  <c r="F24" i="7"/>
  <c r="F25" i="7"/>
  <c r="F26" i="7"/>
  <c r="F27" i="7"/>
  <c r="F23" i="7"/>
  <c r="F22" i="7"/>
  <c r="F13" i="7"/>
  <c r="F14" i="7"/>
  <c r="F15" i="7"/>
  <c r="F16" i="7"/>
  <c r="F17" i="7"/>
  <c r="F18" i="7"/>
  <c r="F19" i="7"/>
  <c r="F20" i="7"/>
  <c r="F21" i="7"/>
  <c r="F12" i="7"/>
  <c r="E24" i="7"/>
  <c r="E25" i="7"/>
  <c r="E26" i="7"/>
  <c r="E27" i="7"/>
  <c r="E23" i="7"/>
  <c r="E22" i="7"/>
  <c r="E13" i="7"/>
  <c r="E14" i="7"/>
  <c r="E15" i="7"/>
  <c r="E16" i="7"/>
  <c r="E17" i="7"/>
  <c r="E18" i="7"/>
  <c r="E19" i="7"/>
  <c r="E20" i="7"/>
  <c r="E21" i="7"/>
  <c r="E12" i="7"/>
  <c r="D27" i="7"/>
  <c r="D26" i="7"/>
  <c r="D17" i="7"/>
  <c r="D18" i="7"/>
  <c r="D19" i="7"/>
  <c r="D20" i="7"/>
  <c r="D21" i="7"/>
  <c r="D22" i="7"/>
  <c r="D23" i="7"/>
  <c r="D24" i="7"/>
  <c r="D25" i="7"/>
  <c r="D16" i="7"/>
  <c r="D15" i="7"/>
  <c r="D8" i="7"/>
  <c r="D9" i="7"/>
  <c r="D10" i="7"/>
  <c r="D11" i="7"/>
  <c r="D12" i="7"/>
  <c r="D13" i="7"/>
  <c r="D14" i="7"/>
  <c r="C27" i="7"/>
  <c r="C17" i="7"/>
  <c r="C18" i="7"/>
  <c r="C19" i="7"/>
  <c r="C20" i="7"/>
  <c r="C21" i="7"/>
  <c r="C22" i="7"/>
  <c r="C23" i="7"/>
  <c r="C24" i="7"/>
  <c r="C25" i="7"/>
  <c r="C16" i="7"/>
  <c r="C8" i="7"/>
  <c r="C9" i="7"/>
  <c r="C10" i="7"/>
  <c r="C11" i="7"/>
  <c r="C12" i="7"/>
  <c r="C13" i="7"/>
  <c r="C14" i="7"/>
  <c r="D7" i="7"/>
  <c r="C7" i="7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6" i="4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6" i="17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6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6" i="34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7" i="8"/>
  <c r="E22" i="40" l="1"/>
  <c r="E21" i="40"/>
  <c r="F26" i="40"/>
  <c r="F18" i="40"/>
  <c r="F10" i="40"/>
  <c r="E7" i="40"/>
  <c r="F25" i="40"/>
  <c r="F17" i="40"/>
  <c r="F9" i="40"/>
  <c r="F29" i="40" s="1"/>
  <c r="E9" i="40"/>
  <c r="F14" i="40"/>
  <c r="F13" i="40"/>
  <c r="F28" i="40" l="1"/>
  <c r="E28" i="40"/>
  <c r="E29" i="40"/>
  <c r="G25" i="8"/>
  <c r="J7" i="4" l="1"/>
  <c r="H6" i="4"/>
  <c r="H7" i="4"/>
  <c r="F6" i="4"/>
  <c r="F7" i="4"/>
  <c r="D6" i="4"/>
  <c r="D7" i="4"/>
  <c r="C148" i="39"/>
  <c r="B151" i="39"/>
  <c r="B139" i="39"/>
  <c r="C139" i="39"/>
  <c r="D139" i="39"/>
  <c r="B140" i="39"/>
  <c r="C140" i="39"/>
  <c r="D140" i="39"/>
  <c r="B141" i="39"/>
  <c r="C141" i="39"/>
  <c r="D141" i="39"/>
  <c r="B142" i="39"/>
  <c r="C142" i="39"/>
  <c r="D142" i="39"/>
  <c r="C138" i="39"/>
  <c r="D138" i="39"/>
  <c r="B138" i="39"/>
  <c r="B111" i="39"/>
  <c r="C111" i="39"/>
  <c r="D111" i="39"/>
  <c r="B112" i="39"/>
  <c r="C112" i="39"/>
  <c r="D112" i="39"/>
  <c r="B113" i="39"/>
  <c r="C113" i="39"/>
  <c r="D113" i="39"/>
  <c r="B114" i="39"/>
  <c r="C114" i="39"/>
  <c r="D114" i="39"/>
  <c r="C110" i="39"/>
  <c r="D110" i="39"/>
  <c r="B110" i="39"/>
  <c r="B82" i="39"/>
  <c r="C82" i="39"/>
  <c r="D82" i="39"/>
  <c r="B83" i="39"/>
  <c r="C83" i="39"/>
  <c r="C149" i="39" s="1"/>
  <c r="D83" i="39"/>
  <c r="B84" i="39"/>
  <c r="C84" i="39"/>
  <c r="D84" i="39"/>
  <c r="B85" i="39"/>
  <c r="C85" i="39"/>
  <c r="D85" i="39"/>
  <c r="C81" i="39"/>
  <c r="C147" i="39" s="1"/>
  <c r="D81" i="39"/>
  <c r="B81" i="39"/>
  <c r="B45" i="39"/>
  <c r="B148" i="39" s="1"/>
  <c r="C45" i="39"/>
  <c r="D45" i="39"/>
  <c r="D148" i="39" s="1"/>
  <c r="B46" i="39"/>
  <c r="B149" i="39" s="1"/>
  <c r="C46" i="39"/>
  <c r="D46" i="39"/>
  <c r="D149" i="39" s="1"/>
  <c r="B47" i="39"/>
  <c r="B150" i="39" s="1"/>
  <c r="C47" i="39"/>
  <c r="C150" i="39" s="1"/>
  <c r="D47" i="39"/>
  <c r="D150" i="39" s="1"/>
  <c r="B48" i="39"/>
  <c r="C48" i="39"/>
  <c r="C151" i="39" s="1"/>
  <c r="D48" i="39"/>
  <c r="D151" i="39" s="1"/>
  <c r="C44" i="39"/>
  <c r="D44" i="39"/>
  <c r="D147" i="39" s="1"/>
  <c r="B44" i="39"/>
  <c r="B147" i="39" s="1"/>
  <c r="R25" i="23"/>
  <c r="M29" i="23"/>
  <c r="M28" i="23"/>
  <c r="M27" i="23"/>
  <c r="M26" i="23"/>
  <c r="M25" i="23"/>
  <c r="Q26" i="34"/>
  <c r="J6" i="4"/>
  <c r="O32" i="8"/>
  <c r="O33" i="8"/>
  <c r="O34" i="8"/>
  <c r="O35" i="8"/>
  <c r="O36" i="8"/>
  <c r="O37" i="8"/>
  <c r="O31" i="8"/>
  <c r="N38" i="8"/>
  <c r="C14" i="8" s="1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6" i="34"/>
  <c r="F7" i="34"/>
  <c r="F8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6" i="34"/>
  <c r="E7" i="34"/>
  <c r="E8" i="34"/>
  <c r="E9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6" i="34"/>
  <c r="D7" i="34"/>
  <c r="C6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7" i="34"/>
  <c r="O25" i="17"/>
  <c r="O24" i="17"/>
  <c r="E114" i="39" l="1"/>
  <c r="O21" i="23" s="1"/>
  <c r="E81" i="39"/>
  <c r="N17" i="23" s="1"/>
  <c r="E112" i="39"/>
  <c r="O19" i="23" s="1"/>
  <c r="E84" i="39"/>
  <c r="N20" i="23" s="1"/>
  <c r="E110" i="39"/>
  <c r="O17" i="23" s="1"/>
  <c r="E113" i="39" l="1"/>
  <c r="O20" i="23" s="1"/>
  <c r="E111" i="39"/>
  <c r="O18" i="23" s="1"/>
  <c r="E85" i="39"/>
  <c r="N21" i="23" s="1"/>
  <c r="E83" i="39"/>
  <c r="N19" i="23" s="1"/>
  <c r="E82" i="39"/>
  <c r="N18" i="23" s="1"/>
  <c r="P19" i="34" l="1"/>
  <c r="P18" i="34"/>
  <c r="P20" i="34" s="1"/>
  <c r="T33" i="4"/>
  <c r="T22" i="4"/>
  <c r="V22" i="4"/>
  <c r="S22" i="4"/>
  <c r="T10" i="4"/>
  <c r="V10" i="4"/>
  <c r="S10" i="4"/>
  <c r="D25" i="12" l="1"/>
  <c r="D26" i="12"/>
  <c r="D28" i="12"/>
  <c r="D29" i="12"/>
  <c r="D30" i="12"/>
  <c r="D31" i="12"/>
  <c r="D32" i="12"/>
  <c r="D33" i="12"/>
  <c r="C25" i="12"/>
  <c r="C26" i="12"/>
  <c r="C27" i="12"/>
  <c r="C28" i="12"/>
  <c r="C29" i="12"/>
  <c r="C30" i="12"/>
  <c r="C31" i="12"/>
  <c r="C32" i="12"/>
  <c r="C33" i="12"/>
  <c r="C24" i="12"/>
  <c r="H38" i="8"/>
  <c r="C8" i="8" s="1"/>
  <c r="R19" i="34"/>
  <c r="Q19" i="34" s="1"/>
  <c r="D27" i="12"/>
  <c r="E45" i="39"/>
  <c r="M18" i="23" s="1"/>
  <c r="E46" i="39"/>
  <c r="M19" i="23" s="1"/>
  <c r="E47" i="39"/>
  <c r="M20" i="23" s="1"/>
  <c r="E48" i="39"/>
  <c r="M21" i="23" s="1"/>
  <c r="E44" i="39"/>
  <c r="M17" i="23" s="1"/>
  <c r="W49" i="4"/>
  <c r="S49" i="4"/>
  <c r="W29" i="4" s="1"/>
  <c r="W33" i="4" s="1"/>
  <c r="E140" i="39" l="1"/>
  <c r="P19" i="23" s="1"/>
  <c r="E142" i="39"/>
  <c r="P21" i="23" s="1"/>
  <c r="E139" i="39"/>
  <c r="P18" i="23" s="1"/>
  <c r="E138" i="39"/>
  <c r="P17" i="23" s="1"/>
  <c r="E141" i="39"/>
  <c r="P20" i="23" s="1"/>
  <c r="C14" i="12"/>
  <c r="D14" i="12"/>
  <c r="D24" i="12"/>
  <c r="K38" i="8"/>
  <c r="C11" i="8" s="1"/>
  <c r="J38" i="8"/>
  <c r="C10" i="8" s="1"/>
  <c r="M38" i="8"/>
  <c r="U19" i="4"/>
  <c r="W19" i="4" s="1"/>
  <c r="X19" i="4" s="1"/>
  <c r="Y19" i="4" s="1"/>
  <c r="U20" i="4"/>
  <c r="W20" i="4" s="1"/>
  <c r="X20" i="4" s="1"/>
  <c r="Y20" i="4" s="1"/>
  <c r="U21" i="4"/>
  <c r="W21" i="4" s="1"/>
  <c r="X21" i="4" s="1"/>
  <c r="Y21" i="4" s="1"/>
  <c r="U18" i="4"/>
  <c r="U7" i="4"/>
  <c r="W7" i="4" s="1"/>
  <c r="X7" i="4" s="1"/>
  <c r="Y7" i="4" s="1"/>
  <c r="U8" i="4"/>
  <c r="W8" i="4" s="1"/>
  <c r="X8" i="4" s="1"/>
  <c r="Y8" i="4" s="1"/>
  <c r="U9" i="4"/>
  <c r="W9" i="4" s="1"/>
  <c r="X9" i="4" s="1"/>
  <c r="Y9" i="4" s="1"/>
  <c r="U6" i="4"/>
  <c r="O8" i="23"/>
  <c r="O9" i="23"/>
  <c r="O10" i="23"/>
  <c r="O11" i="23"/>
  <c r="O12" i="23"/>
  <c r="N8" i="23"/>
  <c r="N9" i="23"/>
  <c r="N10" i="23"/>
  <c r="N11" i="23"/>
  <c r="N12" i="23"/>
  <c r="M9" i="23"/>
  <c r="M10" i="23"/>
  <c r="M11" i="23"/>
  <c r="M12" i="23"/>
  <c r="C13" i="8" l="1"/>
  <c r="W18" i="4"/>
  <c r="U22" i="4"/>
  <c r="W6" i="4"/>
  <c r="U10" i="4"/>
  <c r="C21" i="12"/>
  <c r="D21" i="12"/>
  <c r="C23" i="12"/>
  <c r="D23" i="12"/>
  <c r="C16" i="12"/>
  <c r="D16" i="12"/>
  <c r="D17" i="12"/>
  <c r="C17" i="12"/>
  <c r="E147" i="39"/>
  <c r="M8" i="23"/>
  <c r="P8" i="23" s="1"/>
  <c r="E151" i="39"/>
  <c r="P12" i="23"/>
  <c r="E150" i="39"/>
  <c r="E149" i="39"/>
  <c r="P10" i="23"/>
  <c r="P9" i="23"/>
  <c r="P11" i="23"/>
  <c r="E148" i="39"/>
  <c r="V32" i="4"/>
  <c r="X32" i="4" s="1"/>
  <c r="T42" i="4" s="1"/>
  <c r="S30" i="4"/>
  <c r="S32" i="4"/>
  <c r="V31" i="4"/>
  <c r="X31" i="4" s="1"/>
  <c r="T41" i="4" s="1"/>
  <c r="V30" i="4"/>
  <c r="X30" i="4" s="1"/>
  <c r="T40" i="4" s="1"/>
  <c r="S31" i="4"/>
  <c r="U31" i="4" s="1"/>
  <c r="S41" i="4" s="1"/>
  <c r="J39" i="38"/>
  <c r="J40" i="38"/>
  <c r="D19" i="12" l="1"/>
  <c r="C19" i="12"/>
  <c r="X18" i="4"/>
  <c r="Y18" i="4" s="1"/>
  <c r="W22" i="4"/>
  <c r="X6" i="4"/>
  <c r="Y6" i="4" s="1"/>
  <c r="W10" i="4"/>
  <c r="U32" i="4"/>
  <c r="S42" i="4" s="1"/>
  <c r="U30" i="4"/>
  <c r="S40" i="4" s="1"/>
  <c r="F45" i="38"/>
  <c r="F44" i="38"/>
  <c r="K41" i="38"/>
  <c r="J41" i="38"/>
  <c r="H10" i="23" l="1"/>
  <c r="I10" i="23" s="1"/>
  <c r="X22" i="4"/>
  <c r="X10" i="4"/>
  <c r="V29" i="4" l="1"/>
  <c r="Y22" i="4"/>
  <c r="S29" i="4"/>
  <c r="S33" i="4" s="1"/>
  <c r="Y10" i="4"/>
  <c r="V33" i="4" l="1"/>
  <c r="X29" i="4"/>
  <c r="U29" i="4"/>
  <c r="U33" i="4" l="1"/>
  <c r="S39" i="4"/>
  <c r="X33" i="4"/>
  <c r="T39" i="4"/>
  <c r="G38" i="8"/>
  <c r="C7" i="8" s="1"/>
  <c r="L38" i="8"/>
  <c r="I38" i="8"/>
  <c r="C9" i="8" s="1"/>
  <c r="O38" i="8"/>
  <c r="L6" i="4" l="1"/>
  <c r="C6" i="17" s="1"/>
  <c r="C22" i="12"/>
  <c r="C20" i="12"/>
  <c r="D20" i="12"/>
  <c r="C15" i="12"/>
  <c r="D15" i="12"/>
  <c r="D13" i="12"/>
  <c r="C12" i="8"/>
  <c r="C13" i="12"/>
  <c r="M6" i="4" l="1"/>
  <c r="D22" i="12"/>
  <c r="C18" i="12"/>
  <c r="C28" i="8"/>
  <c r="J38" i="38"/>
  <c r="K38" i="38" s="1"/>
  <c r="M38" i="38" s="1"/>
  <c r="J37" i="38"/>
  <c r="K37" i="38" s="1"/>
  <c r="M37" i="38" s="1"/>
  <c r="J36" i="38"/>
  <c r="K36" i="38" s="1"/>
  <c r="M36" i="38" s="1"/>
  <c r="K35" i="38"/>
  <c r="M35" i="38" s="1"/>
  <c r="J35" i="38"/>
  <c r="J34" i="38"/>
  <c r="K34" i="38" s="1"/>
  <c r="M34" i="38" s="1"/>
  <c r="J33" i="38"/>
  <c r="K33" i="38" s="1"/>
  <c r="M33" i="38" s="1"/>
  <c r="J32" i="38"/>
  <c r="K32" i="38" s="1"/>
  <c r="M32" i="38" s="1"/>
  <c r="J31" i="38"/>
  <c r="K31" i="38" s="1"/>
  <c r="M31" i="38" s="1"/>
  <c r="J30" i="38"/>
  <c r="K30" i="38" s="1"/>
  <c r="M30" i="38" s="1"/>
  <c r="J29" i="38"/>
  <c r="K29" i="38" s="1"/>
  <c r="M29" i="38" s="1"/>
  <c r="K28" i="38"/>
  <c r="M28" i="38" s="1"/>
  <c r="J28" i="38"/>
  <c r="J27" i="38"/>
  <c r="K27" i="38" s="1"/>
  <c r="M27" i="38" s="1"/>
  <c r="J26" i="38"/>
  <c r="K26" i="38" s="1"/>
  <c r="M26" i="38" s="1"/>
  <c r="J25" i="38"/>
  <c r="K25" i="38" s="1"/>
  <c r="M25" i="38" s="1"/>
  <c r="J24" i="38"/>
  <c r="K24" i="38" s="1"/>
  <c r="M24" i="38" s="1"/>
  <c r="J23" i="38"/>
  <c r="K23" i="38" s="1"/>
  <c r="M23" i="38" s="1"/>
  <c r="J22" i="38"/>
  <c r="K22" i="38" s="1"/>
  <c r="M22" i="38" s="1"/>
  <c r="J21" i="38"/>
  <c r="K21" i="38" s="1"/>
  <c r="M21" i="38" s="1"/>
  <c r="J20" i="38"/>
  <c r="K20" i="38" s="1"/>
  <c r="M20" i="38" s="1"/>
  <c r="J19" i="38"/>
  <c r="K19" i="38" s="1"/>
  <c r="M19" i="38" s="1"/>
  <c r="J18" i="38"/>
  <c r="K18" i="38" s="1"/>
  <c r="M18" i="38" s="1"/>
  <c r="J17" i="38"/>
  <c r="K17" i="38" s="1"/>
  <c r="M17" i="38" s="1"/>
  <c r="J16" i="38"/>
  <c r="K16" i="38" s="1"/>
  <c r="M16" i="38" s="1"/>
  <c r="J15" i="38"/>
  <c r="K15" i="38" s="1"/>
  <c r="M15" i="38" s="1"/>
  <c r="J14" i="38"/>
  <c r="K14" i="38" s="1"/>
  <c r="M14" i="38" s="1"/>
  <c r="J13" i="38"/>
  <c r="K13" i="38" s="1"/>
  <c r="M13" i="38" s="1"/>
  <c r="J12" i="38"/>
  <c r="K12" i="38" s="1"/>
  <c r="M12" i="38" s="1"/>
  <c r="J11" i="38"/>
  <c r="K11" i="38" s="1"/>
  <c r="M11" i="38" s="1"/>
  <c r="J10" i="38"/>
  <c r="K10" i="38" s="1"/>
  <c r="M10" i="38" s="1"/>
  <c r="J9" i="38"/>
  <c r="K9" i="38" s="1"/>
  <c r="M9" i="38" s="1"/>
  <c r="J8" i="38"/>
  <c r="K8" i="38" s="1"/>
  <c r="M8" i="38" s="1"/>
  <c r="J7" i="38"/>
  <c r="K7" i="38" s="1"/>
  <c r="M7" i="38" s="1"/>
  <c r="J6" i="38"/>
  <c r="K6" i="38" s="1"/>
  <c r="M6" i="38" s="1"/>
  <c r="J5" i="38"/>
  <c r="K5" i="38" s="1"/>
  <c r="M5" i="38" s="1"/>
  <c r="J4" i="38"/>
  <c r="K4" i="38" s="1"/>
  <c r="M4" i="38" s="1"/>
  <c r="C34" i="12" l="1"/>
  <c r="I15" i="12"/>
  <c r="D18" i="12"/>
  <c r="D34" i="12" s="1"/>
  <c r="B34" i="33"/>
  <c r="B7" i="12" l="1"/>
  <c r="N17" i="7"/>
  <c r="N16" i="7"/>
  <c r="N9" i="7"/>
  <c r="N10" i="7"/>
  <c r="N11" i="7"/>
  <c r="C26" i="7" l="1"/>
  <c r="C15" i="7"/>
  <c r="G22" i="7" l="1"/>
  <c r="G12" i="7"/>
  <c r="Q18" i="34"/>
  <c r="Q20" i="34" s="1"/>
  <c r="B7" i="34"/>
  <c r="B27" i="33"/>
  <c r="B35" i="33"/>
  <c r="I11" i="7" l="1"/>
  <c r="B8" i="34"/>
  <c r="B9" i="34" s="1"/>
  <c r="I9" i="7"/>
  <c r="I10" i="7"/>
  <c r="I7" i="7"/>
  <c r="I8" i="7"/>
  <c r="B29" i="33"/>
  <c r="B32" i="33"/>
  <c r="B33" i="33"/>
  <c r="B28" i="33"/>
  <c r="R20" i="34"/>
  <c r="B11" i="23"/>
  <c r="B7" i="17"/>
  <c r="H19" i="12" l="1"/>
  <c r="H16" i="12"/>
  <c r="H18" i="12"/>
  <c r="H17" i="12"/>
  <c r="H15" i="12"/>
  <c r="B8" i="4"/>
  <c r="R30" i="34"/>
  <c r="Q34" i="34"/>
  <c r="B12" i="23"/>
  <c r="B8" i="17"/>
  <c r="B10" i="34"/>
  <c r="D8" i="4" l="1"/>
  <c r="F8" i="4"/>
  <c r="H8" i="4"/>
  <c r="J8" i="4"/>
  <c r="H11" i="23"/>
  <c r="I11" i="23" s="1"/>
  <c r="L7" i="4"/>
  <c r="C7" i="17" s="1"/>
  <c r="D7" i="17" s="1"/>
  <c r="F7" i="17" s="1"/>
  <c r="B9" i="4"/>
  <c r="E6" i="17"/>
  <c r="G6" i="17" s="1"/>
  <c r="D6" i="17"/>
  <c r="F6" i="17" s="1"/>
  <c r="B13" i="23"/>
  <c r="B9" i="17"/>
  <c r="B11" i="34"/>
  <c r="J9" i="4" l="1"/>
  <c r="D9" i="4"/>
  <c r="F9" i="4"/>
  <c r="H9" i="4"/>
  <c r="K6" i="17"/>
  <c r="E7" i="17"/>
  <c r="G7" i="17" s="1"/>
  <c r="K7" i="17" s="1"/>
  <c r="G16" i="12"/>
  <c r="H12" i="23"/>
  <c r="I12" i="23" s="1"/>
  <c r="L8" i="4"/>
  <c r="C8" i="17" s="1"/>
  <c r="D8" i="17" s="1"/>
  <c r="F8" i="17" s="1"/>
  <c r="M7" i="4"/>
  <c r="K6" i="34"/>
  <c r="L6" i="34" s="1"/>
  <c r="B10" i="4"/>
  <c r="K9" i="34"/>
  <c r="L9" i="34" s="1"/>
  <c r="K8" i="34"/>
  <c r="L8" i="34" s="1"/>
  <c r="K7" i="34"/>
  <c r="L7" i="34" s="1"/>
  <c r="D28" i="8"/>
  <c r="B14" i="23"/>
  <c r="B10" i="17"/>
  <c r="B12" i="34"/>
  <c r="J10" i="4" l="1"/>
  <c r="D10" i="4"/>
  <c r="F10" i="4"/>
  <c r="H10" i="4"/>
  <c r="G17" i="12"/>
  <c r="J16" i="12"/>
  <c r="J17" i="12"/>
  <c r="J18" i="12"/>
  <c r="I16" i="12"/>
  <c r="E8" i="17"/>
  <c r="G8" i="17" s="1"/>
  <c r="K8" i="17" s="1"/>
  <c r="M8" i="4"/>
  <c r="J15" i="12"/>
  <c r="H12" i="7"/>
  <c r="H13" i="23"/>
  <c r="I13" i="23" s="1"/>
  <c r="L9" i="4"/>
  <c r="D7" i="12"/>
  <c r="B11" i="4"/>
  <c r="B15" i="23"/>
  <c r="K10" i="34"/>
  <c r="L10" i="34" s="1"/>
  <c r="B11" i="17"/>
  <c r="B13" i="34"/>
  <c r="J11" i="4" l="1"/>
  <c r="D11" i="4"/>
  <c r="F11" i="4"/>
  <c r="H11" i="4"/>
  <c r="G18" i="12"/>
  <c r="J19" i="12"/>
  <c r="I17" i="12"/>
  <c r="H13" i="7"/>
  <c r="G13" i="7"/>
  <c r="M9" i="4"/>
  <c r="L10" i="4"/>
  <c r="C10" i="17" s="1"/>
  <c r="E10" i="17" s="1"/>
  <c r="G10" i="17" s="1"/>
  <c r="C9" i="17"/>
  <c r="I12" i="7"/>
  <c r="H14" i="23"/>
  <c r="I14" i="23" s="1"/>
  <c r="K15" i="12"/>
  <c r="B12" i="4"/>
  <c r="B16" i="23"/>
  <c r="K11" i="34"/>
  <c r="L11" i="34" s="1"/>
  <c r="K16" i="12"/>
  <c r="K17" i="12"/>
  <c r="B12" i="17"/>
  <c r="B14" i="34"/>
  <c r="H12" i="4" l="1"/>
  <c r="J12" i="4"/>
  <c r="D12" i="4"/>
  <c r="F12" i="4"/>
  <c r="H20" i="12"/>
  <c r="J20" i="12"/>
  <c r="G14" i="7"/>
  <c r="H14" i="7"/>
  <c r="D10" i="17"/>
  <c r="F10" i="17" s="1"/>
  <c r="K10" i="17" s="1"/>
  <c r="D9" i="17"/>
  <c r="F9" i="17" s="1"/>
  <c r="E9" i="17"/>
  <c r="G9" i="17" s="1"/>
  <c r="L11" i="4"/>
  <c r="M10" i="4"/>
  <c r="I18" i="12"/>
  <c r="I13" i="7"/>
  <c r="H15" i="23"/>
  <c r="I15" i="23" s="1"/>
  <c r="J15" i="23" s="1"/>
  <c r="G19" i="12"/>
  <c r="B17" i="23"/>
  <c r="B13" i="4"/>
  <c r="L17" i="12"/>
  <c r="M17" i="12" s="1"/>
  <c r="K12" i="34"/>
  <c r="L12" i="34" s="1"/>
  <c r="L16" i="12"/>
  <c r="M16" i="12" s="1"/>
  <c r="B13" i="17"/>
  <c r="B15" i="34"/>
  <c r="H13" i="4" l="1"/>
  <c r="F13" i="4"/>
  <c r="J13" i="4"/>
  <c r="D13" i="4"/>
  <c r="C11" i="17"/>
  <c r="D11" i="17" s="1"/>
  <c r="F11" i="17" s="1"/>
  <c r="K9" i="17"/>
  <c r="J21" i="12"/>
  <c r="I19" i="12"/>
  <c r="H21" i="12"/>
  <c r="H15" i="7"/>
  <c r="G15" i="7"/>
  <c r="I14" i="7"/>
  <c r="E11" i="17"/>
  <c r="G11" i="17" s="1"/>
  <c r="L12" i="4"/>
  <c r="M11" i="4"/>
  <c r="G20" i="12"/>
  <c r="H16" i="23"/>
  <c r="I16" i="23" s="1"/>
  <c r="J16" i="23" s="1"/>
  <c r="B18" i="23"/>
  <c r="B14" i="4"/>
  <c r="K19" i="12"/>
  <c r="K13" i="34"/>
  <c r="L13" i="34" s="1"/>
  <c r="B14" i="17"/>
  <c r="B16" i="34"/>
  <c r="C12" i="17" l="1"/>
  <c r="E12" i="17" s="1"/>
  <c r="G12" i="17" s="1"/>
  <c r="K11" i="17"/>
  <c r="J14" i="4"/>
  <c r="F14" i="4"/>
  <c r="D14" i="4"/>
  <c r="H14" i="4"/>
  <c r="J22" i="12"/>
  <c r="I20" i="12"/>
  <c r="H16" i="7"/>
  <c r="H22" i="12"/>
  <c r="G16" i="7"/>
  <c r="G17" i="7"/>
  <c r="D12" i="17"/>
  <c r="F12" i="17" s="1"/>
  <c r="K18" i="12"/>
  <c r="M12" i="4"/>
  <c r="M13" i="4"/>
  <c r="L13" i="4"/>
  <c r="C13" i="17" s="1"/>
  <c r="D13" i="17" s="1"/>
  <c r="F13" i="17" s="1"/>
  <c r="I15" i="7"/>
  <c r="H17" i="23"/>
  <c r="I17" i="23" s="1"/>
  <c r="J17" i="23" s="1"/>
  <c r="G21" i="12"/>
  <c r="B19" i="23"/>
  <c r="B15" i="4"/>
  <c r="L19" i="12"/>
  <c r="M19" i="12" s="1"/>
  <c r="K14" i="34"/>
  <c r="L14" i="34" s="1"/>
  <c r="B15" i="17"/>
  <c r="B17" i="34"/>
  <c r="F15" i="4" l="1"/>
  <c r="D15" i="4"/>
  <c r="J15" i="4"/>
  <c r="H15" i="4"/>
  <c r="K12" i="17"/>
  <c r="L18" i="12"/>
  <c r="M18" i="12" s="1"/>
  <c r="H23" i="12"/>
  <c r="J23" i="12"/>
  <c r="I21" i="12"/>
  <c r="H17" i="7"/>
  <c r="I22" i="12"/>
  <c r="E13" i="17"/>
  <c r="G13" i="17" s="1"/>
  <c r="K13" i="17" s="1"/>
  <c r="I16" i="7"/>
  <c r="H18" i="23"/>
  <c r="I18" i="23" s="1"/>
  <c r="J18" i="23" s="1"/>
  <c r="G22" i="12"/>
  <c r="L14" i="4"/>
  <c r="B20" i="23"/>
  <c r="B16" i="4"/>
  <c r="K20" i="12"/>
  <c r="K15" i="34"/>
  <c r="L15" i="34" s="1"/>
  <c r="B16" i="17"/>
  <c r="B18" i="34"/>
  <c r="K21" i="12" l="1"/>
  <c r="J16" i="4"/>
  <c r="F16" i="4"/>
  <c r="D16" i="4"/>
  <c r="H16" i="4"/>
  <c r="H24" i="12"/>
  <c r="J24" i="12"/>
  <c r="H18" i="7"/>
  <c r="G18" i="7"/>
  <c r="I17" i="7"/>
  <c r="H19" i="7"/>
  <c r="H19" i="23"/>
  <c r="I19" i="23" s="1"/>
  <c r="J19" i="23" s="1"/>
  <c r="G23" i="12"/>
  <c r="M14" i="4"/>
  <c r="L15" i="4"/>
  <c r="C15" i="17" s="1"/>
  <c r="D15" i="17" s="1"/>
  <c r="F15" i="17" s="1"/>
  <c r="C14" i="17"/>
  <c r="D14" i="17" s="1"/>
  <c r="B21" i="23"/>
  <c r="B17" i="4"/>
  <c r="L20" i="12"/>
  <c r="M20" i="12" s="1"/>
  <c r="L21" i="12"/>
  <c r="M21" i="12" s="1"/>
  <c r="K16" i="34"/>
  <c r="L16" i="34" s="1"/>
  <c r="B17" i="17"/>
  <c r="B19" i="34"/>
  <c r="J17" i="4" l="1"/>
  <c r="F17" i="4"/>
  <c r="D17" i="4"/>
  <c r="H17" i="4"/>
  <c r="J25" i="12"/>
  <c r="G19" i="7"/>
  <c r="H25" i="12"/>
  <c r="I18" i="7"/>
  <c r="E15" i="17"/>
  <c r="G15" i="17" s="1"/>
  <c r="K15" i="17" s="1"/>
  <c r="H20" i="23"/>
  <c r="I20" i="23" s="1"/>
  <c r="J20" i="23" s="1"/>
  <c r="G24" i="12"/>
  <c r="B22" i="23"/>
  <c r="F14" i="17"/>
  <c r="E14" i="17"/>
  <c r="G14" i="17" s="1"/>
  <c r="L16" i="4"/>
  <c r="M15" i="4"/>
  <c r="I23" i="12"/>
  <c r="B18" i="4"/>
  <c r="K22" i="12"/>
  <c r="K17" i="34"/>
  <c r="L17" i="34" s="1"/>
  <c r="B18" i="17"/>
  <c r="B20" i="34"/>
  <c r="H18" i="4" l="1"/>
  <c r="J18" i="4"/>
  <c r="F18" i="4"/>
  <c r="D18" i="4"/>
  <c r="K14" i="17"/>
  <c r="J26" i="12"/>
  <c r="H20" i="7"/>
  <c r="G20" i="7"/>
  <c r="H26" i="12"/>
  <c r="I19" i="7"/>
  <c r="H21" i="7"/>
  <c r="H21" i="23"/>
  <c r="I21" i="23" s="1"/>
  <c r="J21" i="23" s="1"/>
  <c r="G25" i="12"/>
  <c r="B23" i="23"/>
  <c r="M16" i="4"/>
  <c r="L17" i="4"/>
  <c r="C17" i="17" s="1"/>
  <c r="D17" i="17" s="1"/>
  <c r="F17" i="17" s="1"/>
  <c r="I24" i="12"/>
  <c r="C16" i="17"/>
  <c r="M17" i="4"/>
  <c r="B19" i="4"/>
  <c r="L22" i="12"/>
  <c r="M22" i="12" s="1"/>
  <c r="K24" i="12"/>
  <c r="K18" i="34"/>
  <c r="L18" i="34" s="1"/>
  <c r="B19" i="17"/>
  <c r="B21" i="34"/>
  <c r="H19" i="4" l="1"/>
  <c r="D19" i="4"/>
  <c r="J19" i="4"/>
  <c r="F19" i="4"/>
  <c r="J27" i="12"/>
  <c r="B20" i="4"/>
  <c r="H27" i="12"/>
  <c r="G21" i="7"/>
  <c r="I21" i="7" s="1"/>
  <c r="B24" i="23"/>
  <c r="I20" i="7"/>
  <c r="H22" i="23"/>
  <c r="I22" i="23" s="1"/>
  <c r="J22" i="23" s="1"/>
  <c r="G26" i="12"/>
  <c r="E17" i="17"/>
  <c r="G17" i="17" s="1"/>
  <c r="K17" i="17" s="1"/>
  <c r="K23" i="12"/>
  <c r="L23" i="12" s="1"/>
  <c r="M23" i="12" s="1"/>
  <c r="D16" i="17"/>
  <c r="F16" i="17" s="1"/>
  <c r="E16" i="17"/>
  <c r="G16" i="17" s="1"/>
  <c r="I26" i="12"/>
  <c r="L18" i="4"/>
  <c r="I25" i="12"/>
  <c r="L24" i="12"/>
  <c r="M24" i="12" s="1"/>
  <c r="K19" i="34"/>
  <c r="L19" i="34" s="1"/>
  <c r="B20" i="17"/>
  <c r="B22" i="34"/>
  <c r="B21" i="4" l="1"/>
  <c r="H20" i="4"/>
  <c r="F20" i="4"/>
  <c r="J20" i="4"/>
  <c r="D20" i="4"/>
  <c r="K16" i="17"/>
  <c r="J28" i="12"/>
  <c r="H29" i="12"/>
  <c r="H28" i="12"/>
  <c r="G23" i="7"/>
  <c r="H22" i="7"/>
  <c r="B25" i="23"/>
  <c r="G27" i="12"/>
  <c r="H23" i="23"/>
  <c r="I23" i="23" s="1"/>
  <c r="J23" i="23" s="1"/>
  <c r="L19" i="4"/>
  <c r="C19" i="17" s="1"/>
  <c r="D19" i="17" s="1"/>
  <c r="F19" i="17" s="1"/>
  <c r="M18" i="4"/>
  <c r="C18" i="17"/>
  <c r="B22" i="4"/>
  <c r="K20" i="34"/>
  <c r="L20" i="34" s="1"/>
  <c r="K26" i="12"/>
  <c r="B21" i="17"/>
  <c r="B23" i="34"/>
  <c r="J22" i="4" l="1"/>
  <c r="F22" i="4"/>
  <c r="H22" i="4"/>
  <c r="D22" i="4"/>
  <c r="H21" i="4"/>
  <c r="J21" i="4"/>
  <c r="F21" i="4"/>
  <c r="D21" i="4"/>
  <c r="J29" i="12"/>
  <c r="L20" i="4"/>
  <c r="C20" i="17" s="1"/>
  <c r="D20" i="17" s="1"/>
  <c r="F20" i="17" s="1"/>
  <c r="H24" i="7"/>
  <c r="H23" i="7"/>
  <c r="I23" i="7" s="1"/>
  <c r="H24" i="23"/>
  <c r="I24" i="23" s="1"/>
  <c r="J24" i="23" s="1"/>
  <c r="B26" i="23"/>
  <c r="I22" i="7"/>
  <c r="G28" i="12"/>
  <c r="E19" i="17"/>
  <c r="G19" i="17" s="1"/>
  <c r="K19" i="17" s="1"/>
  <c r="K25" i="12"/>
  <c r="L25" i="12" s="1"/>
  <c r="M25" i="12" s="1"/>
  <c r="I27" i="12"/>
  <c r="M20" i="4"/>
  <c r="M19" i="4"/>
  <c r="D18" i="17"/>
  <c r="F18" i="17" s="1"/>
  <c r="E18" i="17"/>
  <c r="G18" i="17" s="1"/>
  <c r="L26" i="12"/>
  <c r="M26" i="12" s="1"/>
  <c r="B23" i="4"/>
  <c r="K21" i="34"/>
  <c r="L21" i="34" s="1"/>
  <c r="B22" i="17"/>
  <c r="B24" i="34"/>
  <c r="J23" i="4" l="1"/>
  <c r="F23" i="4"/>
  <c r="D23" i="4"/>
  <c r="H23" i="4"/>
  <c r="L21" i="4"/>
  <c r="C21" i="17" s="1"/>
  <c r="H25" i="23"/>
  <c r="I25" i="23" s="1"/>
  <c r="J25" i="23" s="1"/>
  <c r="K18" i="17"/>
  <c r="J30" i="12"/>
  <c r="E20" i="17"/>
  <c r="G20" i="17" s="1"/>
  <c r="K20" i="17" s="1"/>
  <c r="G29" i="12"/>
  <c r="G24" i="7"/>
  <c r="I24" i="7" s="1"/>
  <c r="G26" i="7"/>
  <c r="H30" i="12"/>
  <c r="H31" i="12"/>
  <c r="G25" i="7"/>
  <c r="B27" i="23"/>
  <c r="H26" i="7"/>
  <c r="M21" i="4"/>
  <c r="I29" i="12"/>
  <c r="L22" i="4"/>
  <c r="C22" i="17" s="1"/>
  <c r="I28" i="12"/>
  <c r="B24" i="4"/>
  <c r="K22" i="34"/>
  <c r="L22" i="34" s="1"/>
  <c r="E21" i="17"/>
  <c r="G21" i="17" s="1"/>
  <c r="D21" i="17"/>
  <c r="F21" i="17" s="1"/>
  <c r="K28" i="12"/>
  <c r="B23" i="17"/>
  <c r="B25" i="34"/>
  <c r="J24" i="4" l="1"/>
  <c r="F24" i="4"/>
  <c r="D24" i="4"/>
  <c r="H24" i="4"/>
  <c r="B28" i="23"/>
  <c r="K21" i="17"/>
  <c r="G30" i="12"/>
  <c r="J31" i="12"/>
  <c r="H32" i="12"/>
  <c r="H25" i="7"/>
  <c r="I25" i="7" s="1"/>
  <c r="H26" i="23"/>
  <c r="I26" i="23" s="1"/>
  <c r="J26" i="23" s="1"/>
  <c r="I26" i="7"/>
  <c r="B26" i="34"/>
  <c r="H27" i="7"/>
  <c r="M22" i="4"/>
  <c r="I30" i="12"/>
  <c r="L23" i="4"/>
  <c r="C23" i="17" s="1"/>
  <c r="K27" i="12"/>
  <c r="L27" i="12" s="1"/>
  <c r="M27" i="12" s="1"/>
  <c r="L28" i="12"/>
  <c r="M28" i="12" s="1"/>
  <c r="B25" i="4"/>
  <c r="K23" i="34"/>
  <c r="L23" i="34" s="1"/>
  <c r="K29" i="12"/>
  <c r="E22" i="17"/>
  <c r="G22" i="17" s="1"/>
  <c r="D22" i="17"/>
  <c r="F22" i="17" s="1"/>
  <c r="B24" i="17"/>
  <c r="B29" i="23"/>
  <c r="J25" i="4" l="1"/>
  <c r="F25" i="4"/>
  <c r="D25" i="4"/>
  <c r="H25" i="4"/>
  <c r="K22" i="17"/>
  <c r="J32" i="12"/>
  <c r="I31" i="12"/>
  <c r="G31" i="12"/>
  <c r="H33" i="12"/>
  <c r="H34" i="12"/>
  <c r="G27" i="7"/>
  <c r="I27" i="7" s="1"/>
  <c r="H27" i="23"/>
  <c r="I27" i="23" s="1"/>
  <c r="J27" i="23" s="1"/>
  <c r="H28" i="7"/>
  <c r="L24" i="4"/>
  <c r="C24" i="17" s="1"/>
  <c r="M23" i="4"/>
  <c r="M24" i="4"/>
  <c r="L29" i="12"/>
  <c r="M29" i="12" s="1"/>
  <c r="B30" i="23"/>
  <c r="B26" i="4"/>
  <c r="K30" i="12"/>
  <c r="K24" i="34"/>
  <c r="L24" i="34" s="1"/>
  <c r="E23" i="17"/>
  <c r="G23" i="17" s="1"/>
  <c r="D23" i="17"/>
  <c r="F23" i="17" s="1"/>
  <c r="B25" i="17"/>
  <c r="H26" i="4" l="1"/>
  <c r="J26" i="4"/>
  <c r="F26" i="4"/>
  <c r="D26" i="4"/>
  <c r="H28" i="23"/>
  <c r="I28" i="23" s="1"/>
  <c r="J28" i="23" s="1"/>
  <c r="K23" i="17"/>
  <c r="H35" i="12"/>
  <c r="J33" i="12"/>
  <c r="H27" i="34"/>
  <c r="G27" i="34"/>
  <c r="I27" i="34"/>
  <c r="G32" i="12"/>
  <c r="J27" i="34"/>
  <c r="I28" i="7"/>
  <c r="H29" i="23"/>
  <c r="I29" i="23" s="1"/>
  <c r="J29" i="23" s="1"/>
  <c r="G28" i="7"/>
  <c r="L25" i="4"/>
  <c r="C25" i="17" s="1"/>
  <c r="I32" i="12"/>
  <c r="I33" i="12"/>
  <c r="L30" i="12"/>
  <c r="M30" i="12" s="1"/>
  <c r="B26" i="17"/>
  <c r="K31" i="12"/>
  <c r="K25" i="34"/>
  <c r="L25" i="34" s="1"/>
  <c r="D24" i="17"/>
  <c r="F24" i="17" s="1"/>
  <c r="E24" i="17"/>
  <c r="G24" i="17" s="1"/>
  <c r="G33" i="12" l="1"/>
  <c r="K24" i="17"/>
  <c r="J34" i="12"/>
  <c r="K26" i="34"/>
  <c r="L26" i="34" s="1"/>
  <c r="G27" i="4"/>
  <c r="K27" i="4"/>
  <c r="I27" i="4"/>
  <c r="H30" i="23"/>
  <c r="I30" i="23" s="1"/>
  <c r="J30" i="23" s="1"/>
  <c r="G34" i="12"/>
  <c r="M25" i="4"/>
  <c r="L26" i="4"/>
  <c r="L31" i="12"/>
  <c r="M31" i="12" s="1"/>
  <c r="J28" i="7"/>
  <c r="E25" i="17"/>
  <c r="G25" i="17" s="1"/>
  <c r="D25" i="17"/>
  <c r="F25" i="17" s="1"/>
  <c r="K32" i="12"/>
  <c r="K25" i="17" l="1"/>
  <c r="L27" i="34"/>
  <c r="J35" i="12"/>
  <c r="K27" i="34"/>
  <c r="M26" i="4"/>
  <c r="G35" i="12"/>
  <c r="I31" i="23"/>
  <c r="E27" i="4"/>
  <c r="C26" i="17"/>
  <c r="L27" i="4"/>
  <c r="I34" i="12"/>
  <c r="L32" i="12"/>
  <c r="M32" i="12" s="1"/>
  <c r="K33" i="12"/>
  <c r="I35" i="12" l="1"/>
  <c r="N27" i="4"/>
  <c r="M27" i="4"/>
  <c r="D26" i="17"/>
  <c r="F26" i="17" s="1"/>
  <c r="E26" i="17"/>
  <c r="G26" i="17" s="1"/>
  <c r="L33" i="12"/>
  <c r="M33" i="12" s="1"/>
  <c r="K34" i="12"/>
  <c r="K26" i="17" l="1"/>
  <c r="L34" i="12"/>
  <c r="M34" i="12" s="1"/>
  <c r="K35" i="12" l="1"/>
  <c r="J27" i="17"/>
  <c r="K27" i="17"/>
  <c r="L35" i="12" l="1"/>
  <c r="M35" i="12" s="1"/>
  <c r="L15" i="12"/>
  <c r="M15" i="12" s="1"/>
  <c r="J31" i="23"/>
  <c r="L36" i="12" l="1"/>
  <c r="B6" i="12" s="1"/>
  <c r="B8" i="12" l="1"/>
  <c r="M36" i="12"/>
  <c r="D6" i="12" l="1"/>
  <c r="D8" i="12" s="1"/>
</calcChain>
</file>

<file path=xl/sharedStrings.xml><?xml version="1.0" encoding="utf-8"?>
<sst xmlns="http://schemas.openxmlformats.org/spreadsheetml/2006/main" count="749" uniqueCount="446">
  <si>
    <t>Analysis Year</t>
  </si>
  <si>
    <t>7% Discount</t>
  </si>
  <si>
    <t>NOTES:</t>
  </si>
  <si>
    <t xml:space="preserve">Cost Category </t>
  </si>
  <si>
    <t>Capital Costs</t>
  </si>
  <si>
    <t>Economic Competitiveness</t>
  </si>
  <si>
    <t>Safety</t>
  </si>
  <si>
    <t>Crash Savings</t>
  </si>
  <si>
    <t>Benefits</t>
  </si>
  <si>
    <t>Costs</t>
  </si>
  <si>
    <t>B/C Ratio</t>
  </si>
  <si>
    <t>Mode</t>
  </si>
  <si>
    <t>VOC</t>
  </si>
  <si>
    <t>Automobile</t>
  </si>
  <si>
    <t>Emission Type</t>
  </si>
  <si>
    <t>Volatile Organic Compounds (VOC)</t>
  </si>
  <si>
    <t>Nitrogen Oxides (NOx)</t>
  </si>
  <si>
    <t>Year</t>
  </si>
  <si>
    <t>Severity</t>
  </si>
  <si>
    <t>SAFETY - CRASH REDUCTION CALCULATIONS</t>
  </si>
  <si>
    <t>Annual</t>
  </si>
  <si>
    <t>Decrease in NOx (metric tons)</t>
  </si>
  <si>
    <t>Decrease in VOC
(metric tons)</t>
  </si>
  <si>
    <t>2)</t>
  </si>
  <si>
    <t>1)</t>
  </si>
  <si>
    <t>3)</t>
  </si>
  <si>
    <t>ECONOMIC COMPETITIVENESS - Travel  Time Savings Calculation</t>
  </si>
  <si>
    <t>4)</t>
  </si>
  <si>
    <t>Consumer Price Index - All Urban Consumers</t>
  </si>
  <si>
    <t>Original Data Value</t>
  </si>
  <si>
    <t>Series Id:</t>
  </si>
  <si>
    <t>Area:</t>
  </si>
  <si>
    <t>U.S. city average</t>
  </si>
  <si>
    <t>Item:</t>
  </si>
  <si>
    <t>All items</t>
  </si>
  <si>
    <t>Base Period:</t>
  </si>
  <si>
    <t>1982-84=100</t>
  </si>
  <si>
    <t>Years: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</si>
  <si>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</si>
  <si>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</si>
  <si>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</si>
  <si>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</si>
  <si>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</si>
  <si>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</si>
  <si>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</si>
  <si>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</si>
  <si>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</si>
  <si>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</si>
  <si>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</si>
  <si>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</si>
  <si>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</si>
  <si>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</si>
  <si>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From 2013$</t>
  </si>
  <si>
    <t>Seasonally Adjusted</t>
  </si>
  <si>
    <t>CUSR0000SA0</t>
  </si>
  <si>
    <t>From 2007$</t>
  </si>
  <si>
    <t xml:space="preserve">Monetized Decrease in VOC </t>
  </si>
  <si>
    <t xml:space="preserve">Monetized Decrease in NOx </t>
  </si>
  <si>
    <t xml:space="preserve">Capital Cost </t>
  </si>
  <si>
    <t>CAPITAL COST AND RESIDUAL PROJECT VALUE</t>
  </si>
  <si>
    <t>Right-of-Way</t>
  </si>
  <si>
    <t>2005 to 2015</t>
  </si>
  <si>
    <t>Conversion Factors to 2015$</t>
  </si>
  <si>
    <t>Population</t>
  </si>
  <si>
    <t>5)</t>
  </si>
  <si>
    <r>
      <t xml:space="preserve">Estimate from the Transportation Research Board's (TRB) </t>
    </r>
    <r>
      <rPr>
        <i/>
        <sz val="11"/>
        <color theme="1"/>
        <rFont val="Calibri"/>
        <family val="2"/>
        <scheme val="minor"/>
      </rPr>
      <t>National Cooperative Highway Research Program (NCHRP) Report 552: Guidelines for Analysis of Investments in Bicycle Facilities</t>
    </r>
    <r>
      <rPr>
        <sz val="11"/>
        <color theme="1"/>
        <rFont val="Calibri"/>
        <family val="2"/>
        <scheme val="minor"/>
      </rPr>
      <t>.</t>
    </r>
  </si>
  <si>
    <t>Commuters</t>
  </si>
  <si>
    <t>All Bicyclists</t>
  </si>
  <si>
    <r>
      <t>Table 3 - New and Existing Bicyclists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</si>
  <si>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6)</t>
  </si>
  <si>
    <t>Health Cost Savings</t>
  </si>
  <si>
    <t>Recreation Benefit</t>
  </si>
  <si>
    <t>Mobility Benefit</t>
  </si>
  <si>
    <t>Reduced Auto Use (Congestion) Benefit</t>
  </si>
  <si>
    <t>Undiscounted Total Benefit</t>
  </si>
  <si>
    <t>Recreational</t>
  </si>
  <si>
    <t>New Daily Cyclists - Commuter</t>
  </si>
  <si>
    <t>Existing Daily Cyclists - Commuter</t>
  </si>
  <si>
    <t>Existing Daily Cyclists - Recreational</t>
  </si>
  <si>
    <t>New Daily Cyclists - Recreational</t>
  </si>
  <si>
    <t>Commuting days per year</t>
  </si>
  <si>
    <t>Trips per day</t>
  </si>
  <si>
    <t>Willingness to travel (minutes)</t>
  </si>
  <si>
    <t>Annual savings per new commuter (2006$)</t>
  </si>
  <si>
    <t>From 2006$</t>
  </si>
  <si>
    <t xml:space="preserve">Annual Recreational Days </t>
  </si>
  <si>
    <t>Daily value of recreation (2006$)</t>
  </si>
  <si>
    <t>Bicycle Facility Benefits</t>
  </si>
  <si>
    <t>Table 8 - CPI Factor</t>
  </si>
  <si>
    <t>State of Good Repair</t>
  </si>
  <si>
    <t>Operations and Maintenance Cost Savings</t>
  </si>
  <si>
    <t>Auto Travel Time Savings</t>
  </si>
  <si>
    <t>Decrease in Annual Vehicle VHT</t>
  </si>
  <si>
    <t>Decrease in NOx (g)</t>
  </si>
  <si>
    <t>Decrease in VOC 
(g)</t>
  </si>
  <si>
    <t># of Crashes</t>
  </si>
  <si>
    <t>Monetized Yearly Emissions Savings (no carbon)</t>
  </si>
  <si>
    <t>NOx</t>
  </si>
  <si>
    <r>
      <t xml:space="preserve">Source: Emissions rates for increased VHT are based on rates for idling vehicles. Rates of Nox and VOC are from the Environmental Protection Agency's </t>
    </r>
    <r>
      <rPr>
        <i/>
        <sz val="11"/>
        <color theme="1"/>
        <rFont val="Calibri"/>
        <family val="2"/>
        <scheme val="minor"/>
      </rPr>
      <t>Idling Vehicle Emissions for Passenger Cars, Light-Duty Trucks, and Heavy-Duty Truck,</t>
    </r>
    <r>
      <rPr>
        <sz val="11"/>
        <color theme="1"/>
        <rFont val="Calibri"/>
        <family val="2"/>
        <scheme val="minor"/>
      </rPr>
      <t>accessed at http://www.epa.gov/otaq/consumer/420f08025.pdf. The rate for CO2 emissions is from the Argonne National Laboratory report</t>
    </r>
    <r>
      <rPr>
        <i/>
        <sz val="11"/>
        <color theme="1"/>
        <rFont val="Calibri"/>
        <family val="2"/>
        <scheme val="minor"/>
      </rPr>
      <t xml:space="preserve"> Which Is Greener: Idle, or Stop and Restart?</t>
    </r>
    <r>
      <rPr>
        <sz val="11"/>
        <color theme="1"/>
        <rFont val="Calibri"/>
        <family val="2"/>
        <scheme val="minor"/>
      </rPr>
      <t>accessed at http://www.afdc.energy.gov/uploads/publication/which_is_greener.pdf.</t>
    </r>
  </si>
  <si>
    <t>STATE OF GOOD REPAIR - OPERATION AND MAINTENANCE COSTS SAVINGS</t>
  </si>
  <si>
    <r>
      <t xml:space="preserve">Table 4 - Mobility Benefit Calculations 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</si>
  <si>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t xml:space="preserve">Table 5 - Health Savings Calculations 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</si>
  <si>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t xml:space="preserve">Table 6 - Recreation Benefit Calculations 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</si>
  <si>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t xml:space="preserve">Table 7 - Reduced Auto Use (Congestion) Benefit Calculations 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</si>
  <si>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Total</t>
  </si>
  <si>
    <t xml:space="preserve">Bicycle demand and benefit calculations based on a methodology described in the National Cooperative Highway Research Program's (NCHRP) Report 552: Guidelines for Analysis of Investments in Bicycle Facilities (2006). (http://onlinepubs.trb.org/onlinepubs/nchrp/nchrp_rpt_552.pdf) A ramp-up period of four years was assumed before the facilities would see use consistent with the estimated full level of demand. </t>
  </si>
  <si>
    <t>QUALITY OF LIFE BENEFITS</t>
  </si>
  <si>
    <r>
      <t xml:space="preserve">Table 1 - Years of Construction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</si>
  <si>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PDO</t>
  </si>
  <si>
    <t>2014</t>
  </si>
  <si>
    <t>2015</t>
  </si>
  <si>
    <t>2016</t>
  </si>
  <si>
    <t>Conversion Factors to 2016$</t>
  </si>
  <si>
    <t>Source</t>
  </si>
  <si>
    <t>Broussard</t>
  </si>
  <si>
    <t>Carencro</t>
  </si>
  <si>
    <t>Duson</t>
  </si>
  <si>
    <t>Lafayette</t>
  </si>
  <si>
    <t>Predicted</t>
  </si>
  <si>
    <t>Scott</t>
  </si>
  <si>
    <t>Youngsville</t>
  </si>
  <si>
    <t>Incorp Total</t>
  </si>
  <si>
    <t>Unincorp</t>
  </si>
  <si>
    <t>TOTALS</t>
  </si>
  <si>
    <t>Unincorp Ratio</t>
  </si>
  <si>
    <t>US Census Bureau</t>
  </si>
  <si>
    <t>LA State Treasurer</t>
  </si>
  <si>
    <t>Note: Bold figures signify unreported years who estimate is carried forward form the last available year.</t>
  </si>
  <si>
    <t>Average Growth Rate</t>
  </si>
  <si>
    <t>Growth Rate</t>
  </si>
  <si>
    <t>Table 2 -Relevent City of Lafayette Population Characteristics</t>
  </si>
  <si>
    <t>Acadiana Metropolitan Planning Organization, 2040 Travel Demand Model, TransCAD</t>
  </si>
  <si>
    <t>Source: 2011-2015 ACS 5-Year Estimate</t>
  </si>
  <si>
    <r>
      <t xml:space="preserve">GIS buffer analysis using block-level data from ESRI Business Analyst  Source: </t>
    </r>
    <r>
      <rPr>
        <i/>
        <sz val="11"/>
        <color theme="1"/>
        <rFont val="Calibri"/>
        <family val="2"/>
        <scheme val="minor"/>
      </rPr>
      <t>U.S. Census Bureau, Census 2010 SF1; ESRI forecasts for 2017; ESRI converted 2000 data into 2010 geography</t>
    </r>
  </si>
  <si>
    <t>A - Fatality</t>
  </si>
  <si>
    <t>B - Severe Injury</t>
  </si>
  <si>
    <t>E - Property Damage Only</t>
  </si>
  <si>
    <t>C - Moderate Injury</t>
  </si>
  <si>
    <t>D - Complaint Injury</t>
  </si>
  <si>
    <r>
      <t xml:space="preserve">Louisiana Highway Safety Commission and the Louisiana Department of Transportation and Development Crash Coding System.  Source: </t>
    </r>
    <r>
      <rPr>
        <i/>
        <sz val="11"/>
        <color theme="1"/>
        <rFont val="Calibri"/>
        <family val="2"/>
        <scheme val="minor"/>
      </rPr>
      <t>Highway Safety Reseach Group, 2016; http://wwwsp.dotd.la.gov/Inside_LaDOTD/Divisions/Multimodal/Highway_Safety/Pages/Highway_Safety_Analysis_Toolbox.aspx</t>
    </r>
  </si>
  <si>
    <t>Fatalities</t>
  </si>
  <si>
    <t>Severe Injury</t>
  </si>
  <si>
    <t>Moderate Injury</t>
  </si>
  <si>
    <t>Complaint Injury</t>
  </si>
  <si>
    <t>From 2012$</t>
  </si>
  <si>
    <t>Metric Ton Conversion Factor</t>
  </si>
  <si>
    <t>Phase 2</t>
  </si>
  <si>
    <t>Phase 3</t>
  </si>
  <si>
    <t>Construction</t>
  </si>
  <si>
    <t>Utility Relocation</t>
  </si>
  <si>
    <r>
      <t>Table 1 - 2017 Population Near Project Area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</si>
  <si>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Seal Joints/Cracks</t>
  </si>
  <si>
    <t>Major Rehabilitation</t>
  </si>
  <si>
    <t>Schedule</t>
  </si>
  <si>
    <t>Routine Maintenance</t>
  </si>
  <si>
    <t>Annually</t>
  </si>
  <si>
    <t>10 Years</t>
  </si>
  <si>
    <t>20 Years</t>
  </si>
  <si>
    <t>Estimated Annual Inflation</t>
  </si>
  <si>
    <t>Controller Replacement</t>
  </si>
  <si>
    <t>Maintenance Reduction Factor</t>
  </si>
  <si>
    <r>
      <t xml:space="preserve"> A Florida DOT study published in 2006 stated median reduce average maintenace costs by 40%.  Source:  </t>
    </r>
    <r>
      <rPr>
        <i/>
        <sz val="11"/>
        <color theme="1"/>
        <rFont val="Calibri"/>
        <family val="2"/>
        <scheme val="minor"/>
      </rPr>
      <t>https://nacto.org/docs/usdg/university_course_on_bicycle_and_ped_trans_fhwa.pdf</t>
    </r>
  </si>
  <si>
    <t>Table 1 - Roadway Maintenance Activity Costs Per Mile</t>
  </si>
  <si>
    <t>Table 3 - CPI Factor</t>
  </si>
  <si>
    <r>
      <t>Table 4 - Inflation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</si>
  <si>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Table 5 - Project Mileage</t>
  </si>
  <si>
    <r>
      <t>Table 6 - Roadway Maintenace Reduction Due to Median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</si>
  <si>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Ridership is assumed to grow at a rate the same aspopulation growth. Source: Annual Population Figures - Louisiana Department of Treasury</t>
  </si>
  <si>
    <t>Lafayette Parish and Municipalities Population Figures</t>
  </si>
  <si>
    <t xml:space="preserve">Subtotal </t>
  </si>
  <si>
    <t xml:space="preserve">7% Discount </t>
  </si>
  <si>
    <t>PHASE TOTALS</t>
  </si>
  <si>
    <t>PAGE 8 of 9</t>
  </si>
  <si>
    <t>Table 2 - Traffic Signal Maintenance Activity Costs Per Mile / Replacement Schedule Costs</t>
  </si>
  <si>
    <t>Entire Project Corridor</t>
  </si>
  <si>
    <t>Centerline Mileage Measurement</t>
  </si>
  <si>
    <t>No Build condition keeps the current 5-Lane Joint Concrete Pavement (JCP) Arterial</t>
  </si>
  <si>
    <t>Build conditions converts 5-Lane JCP to 4-Lane JCP with raised median; elimination of 2 signaled intersections that are converted to roundabouts; introduction of roundabout at stop controlled intersections</t>
  </si>
  <si>
    <t>Crash Severity Rating</t>
  </si>
  <si>
    <t>YEAR</t>
  </si>
  <si>
    <t>Location</t>
  </si>
  <si>
    <t>Within 150Ft. of University Ave and Interstate 10 WB Ramp</t>
  </si>
  <si>
    <t>Within 150Ft. of University Ave and Interstate 10 EB Ramp</t>
  </si>
  <si>
    <t>Within 150Ft. of University @ Alcide Dominique</t>
  </si>
  <si>
    <t>Within 150Ft. of University @ Madeline</t>
  </si>
  <si>
    <t>Within 150Ft. of University @ Willow</t>
  </si>
  <si>
    <t>Within 289Ft. of University Ave from I-10 WB Ramp to Renaud</t>
  </si>
  <si>
    <t>Within 50Ft. of University Ave                                                                             I-10 EB Ramp to I-10 WB Ramp</t>
  </si>
  <si>
    <t>Within 105Ft. of University Ave from                                                  Alcide Dominique to I-10 EB Ramps</t>
  </si>
  <si>
    <t>Within 822Ft. of Univeristy Ave at Willow to Alcide Dominique</t>
  </si>
  <si>
    <t>Within 840Ft. of University Ave from                                                                        Madeline Ave to Willow  St</t>
  </si>
  <si>
    <t>Within 1,070Ft. of University Ave from                                                                        Cameron to Madeline</t>
  </si>
  <si>
    <t>Average</t>
  </si>
  <si>
    <t>2020 PEAK TRAFFIC INTERSECTION DELAY (SECONDS/VEH)</t>
  </si>
  <si>
    <t>VEHICLE DELAY REDUCTION (SAVINGS)</t>
  </si>
  <si>
    <t>Delay Savings in Seconds per Vehicle                     (A - B)</t>
  </si>
  <si>
    <t xml:space="preserve">Total Vehicles During Peak Hour                           C                     </t>
  </si>
  <si>
    <t>Total Delay Savings in Seconds                                     (A - B)  x C</t>
  </si>
  <si>
    <t>Willow Street</t>
  </si>
  <si>
    <t>Alcide Dominique</t>
  </si>
  <si>
    <t>2040 PEAK TRAFFIC INTERSECTION DELAY (SECONDS/VEH)</t>
  </si>
  <si>
    <t>Table 3 - Annualized Travel Time Savings</t>
  </si>
  <si>
    <t>Planned Year Roundabout Operational</t>
  </si>
  <si>
    <t>Total Monetized Yearly Travel Time Savings</t>
  </si>
  <si>
    <t>Table 4 - Annual Work Days Per Year</t>
  </si>
  <si>
    <t>Number of Work Days Per Week                  B</t>
  </si>
  <si>
    <t>Number of Work Days Per Year          (A x B)</t>
  </si>
  <si>
    <t>Table 2 - Annual Delay ReductionTraffic (Travel Time Savings) Build vs. No-Build</t>
  </si>
  <si>
    <r>
      <t xml:space="preserve">Table 5 - Value of Time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</si>
  <si>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Average Vehicle Occupancy</t>
  </si>
  <si>
    <t>Conversion of Signalized Intersection into Single or Multi Lane Roundabout</t>
  </si>
  <si>
    <t>Conversion of Stop-Controlled Intersection into Multi Lane Roundabout</t>
  </si>
  <si>
    <t>Countermeasure</t>
  </si>
  <si>
    <t>Crash Modification Factors by Countermeasure</t>
  </si>
  <si>
    <t>Median</t>
  </si>
  <si>
    <t>PHASE 2:  Total Number and Average Crashes</t>
  </si>
  <si>
    <t>CMF #</t>
  </si>
  <si>
    <t>Begin Construction</t>
  </si>
  <si>
    <t>CMF Calculation</t>
  </si>
  <si>
    <t>Final CMF for Analysis</t>
  </si>
  <si>
    <t>CMF # - Table 10</t>
  </si>
  <si>
    <t>0.53 x .074</t>
  </si>
  <si>
    <t>1,2</t>
  </si>
  <si>
    <t>Pop. Within Project Census Tracts</t>
  </si>
  <si>
    <t>Table 6 - Project Phasing Planned Improvement Operational Date</t>
  </si>
  <si>
    <t>Constructed - No Signalization Due to Roundabouts</t>
  </si>
  <si>
    <t>Analysis Year Beginning in Good Condition</t>
  </si>
  <si>
    <t>Entire Project Corridor Total Savings</t>
  </si>
  <si>
    <t>Entire Project Corridor Total Benefit</t>
  </si>
  <si>
    <t xml:space="preserve"> Entire Project Corridor Total Benefit</t>
  </si>
  <si>
    <t>ENTIRE PROJECT CORRIDOR TOTAL</t>
  </si>
  <si>
    <t>ENTIRE PROJECT CORRIDOR BENEFIT COST ANALYSIS SUMMARY</t>
  </si>
  <si>
    <t>Existing Conditions         (No Build)                    A</t>
  </si>
  <si>
    <r>
      <t>Annual population growth rate</t>
    </r>
    <r>
      <rPr>
        <vertAlign val="superscript"/>
        <sz val="10"/>
        <color theme="1"/>
        <rFont val="Calibri"/>
        <family val="2"/>
        <scheme val="minor"/>
      </rPr>
      <t>2</t>
    </r>
  </si>
  <si>
    <r>
      <t>Population over 18 years old</t>
    </r>
    <r>
      <rPr>
        <vertAlign val="superscript"/>
        <sz val="10"/>
        <color theme="1"/>
        <rFont val="Calibri"/>
        <family val="2"/>
        <scheme val="minor"/>
      </rPr>
      <t>3</t>
    </r>
  </si>
  <si>
    <r>
      <t>Commute to work on bicycle</t>
    </r>
    <r>
      <rPr>
        <vertAlign val="superscript"/>
        <sz val="10"/>
        <color theme="1"/>
        <rFont val="Calibri"/>
        <family val="2"/>
        <scheme val="minor"/>
      </rPr>
      <t>3</t>
    </r>
  </si>
  <si>
    <r>
      <t>Adults who commute</t>
    </r>
    <r>
      <rPr>
        <vertAlign val="superscript"/>
        <sz val="10"/>
        <color theme="1"/>
        <rFont val="Calibri"/>
        <family val="2"/>
        <scheme val="minor"/>
      </rPr>
      <t>4</t>
    </r>
  </si>
  <si>
    <r>
      <t>Average Trip Length (miles)</t>
    </r>
    <r>
      <rPr>
        <vertAlign val="superscript"/>
        <sz val="10"/>
        <color theme="1"/>
        <rFont val="Calibri"/>
        <family val="2"/>
        <scheme val="minor"/>
      </rPr>
      <t>5</t>
    </r>
  </si>
  <si>
    <t>7)</t>
  </si>
  <si>
    <r>
      <t xml:space="preserve">The 40-year road maintenance value were estimated by the LA Department of Transportation and Development for 5-Lane Jointed Concrete (JCP) Arterial in the following conditions all in 2012$: fair - $1,171,163.24; good - $908,838.35; and, Very Good - $804,161.14.  Source:  </t>
    </r>
    <r>
      <rPr>
        <i/>
        <sz val="11"/>
        <color theme="1"/>
        <rFont val="Calibri"/>
        <family val="2"/>
        <scheme val="minor"/>
      </rPr>
      <t>Right Sizing the State Highway Systems, 2013.  http://wwwsp.dotd.la.gov/Inside_LaDOTD/Divisions/Multimodal/Road_Transfer/Documents/Right-Sizing the State Highway System.pdf; Roadway considered in fair condition in 2016 for No build; Build scenario provides new roadway in 2020 and 2021, but the analysis will use 2021 as new construction for both</t>
    </r>
  </si>
  <si>
    <r>
      <t>Source: Analysis performed by Acadiana MPO using TransCAD modeling software</t>
    </r>
    <r>
      <rPr>
        <sz val="11"/>
        <rFont val="Calibri"/>
        <family val="2"/>
        <scheme val="minor"/>
      </rPr>
      <t>. Annual amounts assume 260 working days per year.</t>
    </r>
    <r>
      <rPr>
        <sz val="11"/>
        <color rgb="FFFF0000"/>
        <rFont val="Calibri"/>
        <family val="2"/>
        <scheme val="minor"/>
      </rPr>
      <t xml:space="preserve"> </t>
    </r>
  </si>
  <si>
    <r>
      <t>Table 1 - Annual and Median Number of Crashes by Severity for Entire Project Corridor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</si>
  <si>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Crash data was obtained from the Louisiana Highway Safety Commission and Louisiana Department of Transportation and Development's joint crash database - </t>
    </r>
    <r>
      <rPr>
        <i/>
        <sz val="11"/>
        <color theme="1"/>
        <rFont val="Calibri"/>
        <family val="2"/>
        <scheme val="minor"/>
      </rPr>
      <t>CRASH1</t>
    </r>
  </si>
  <si>
    <t>Conversion of Two Way Left Turn Lanes into Raised Median</t>
  </si>
  <si>
    <t>A crash modification factor (CMF) of 0.53 for was obtained from the Crash Modification Factor Clearinghouse for the conversion of Two Way Left Turn Lanes into Raised Median (http://www.cmfclearinghouse.org/detail.cfm?facid=7771).  Another CMF of 0.74 was obtained from the Crash Modification Factor Clearinghouse (http://www.cmfclearinghouse.org/detail.cfm?facid=4196) for conversion of signalized intersection into single or multi lane roundabout. The final CMF of 0.95 was obtained from the Crash Modification Factor Clearinghouse (http://www.cmfclearinghouse.org/detail.cfm?facid=208) for conversion of stop-controlled intersection into multi lane roundabout.</t>
  </si>
  <si>
    <t>Total Population</t>
  </si>
  <si>
    <t xml:space="preserve">Air quality </t>
  </si>
  <si>
    <t>NPV at 7% Discount</t>
  </si>
  <si>
    <t>MPV of Total Benefit at 7% Discount</t>
  </si>
  <si>
    <t>Environmental Competitiveness</t>
  </si>
  <si>
    <r>
      <t xml:space="preserve">Source:  Analysis performed by Vectura Consulting using TransCAD and SIDRA modeling software for peak hour.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See Appendix for details.</t>
    </r>
  </si>
  <si>
    <r>
      <t xml:space="preserve">Table 2- Idling Pollution Emission by Mode (g/VHT)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</si>
  <si>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Table 3- Value of Emissions </t>
    </r>
    <r>
      <rPr>
        <b/>
        <vertAlign val="superscript"/>
        <sz val="11"/>
        <color theme="1"/>
        <rFont val="Calibri"/>
        <family val="2"/>
        <scheme val="minor"/>
      </rPr>
      <t xml:space="preserve">3 </t>
    </r>
    <r>
      <rPr>
        <b/>
        <sz val="11"/>
        <color theme="1"/>
        <rFont val="Calibri"/>
        <family val="2"/>
        <scheme val="minor"/>
      </rPr>
      <t>- Converted to $/Metric Ton</t>
    </r>
  </si>
  <si>
    <r>
      <t>Table 4 - CPI Factor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</si>
  <si>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Table 4a - Mass Conversion Factor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</si>
  <si>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Undiscounted</t>
  </si>
  <si>
    <t>Total Project Costs</t>
  </si>
  <si>
    <t>Total Project Benefits</t>
  </si>
  <si>
    <t>PAGE 8 of 8</t>
  </si>
  <si>
    <t>Convert Seconds into Hours                                    ((A - B) x C) / 3600</t>
  </si>
  <si>
    <t>Convert Seconds into Hours                                               ((A - B) x C) / 3600</t>
  </si>
  <si>
    <t>2040                        Total Daily Time Savings                                             C</t>
  </si>
  <si>
    <t>2020                      Total Daily Time Savings                                    A</t>
  </si>
  <si>
    <t>Work Days            (Per Year)                                        B</t>
  </si>
  <si>
    <t>2020 Annual Travel Time Savings in Hours                             (A x B)</t>
  </si>
  <si>
    <t>Work Days            (Per Year)                                          D</t>
  </si>
  <si>
    <t>2040 Annual Travel Time Savings in Hours                                                  (C x D)</t>
  </si>
  <si>
    <t>Number of Work Weeks                              A</t>
  </si>
  <si>
    <t>PAGE 1 of 7</t>
  </si>
  <si>
    <t>PAGE 2 of 7</t>
  </si>
  <si>
    <t>PAGE 3 of 7</t>
  </si>
  <si>
    <t>PAGE 4 of 7</t>
  </si>
  <si>
    <t>PAGE 5 of 7</t>
  </si>
  <si>
    <t>PAGE 6 of 7</t>
  </si>
  <si>
    <t>PAGE 7 of 7</t>
  </si>
  <si>
    <t>TOTAL</t>
  </si>
  <si>
    <t>Construction Related Costs</t>
  </si>
  <si>
    <t>Existing daily cyclists (2018)</t>
  </si>
  <si>
    <t>New daily cyclists (2018)</t>
  </si>
  <si>
    <t>Daily Total (2018)</t>
  </si>
  <si>
    <t>End Environmental</t>
  </si>
  <si>
    <t>Engineering</t>
  </si>
  <si>
    <t>Environmental</t>
  </si>
  <si>
    <t>ROW</t>
  </si>
  <si>
    <t>Contingency (20%)</t>
  </si>
  <si>
    <t>Survey &amp; Engineering</t>
  </si>
  <si>
    <t xml:space="preserve">Construction Related Costs </t>
  </si>
  <si>
    <t>Begin Project &amp; Environmental</t>
  </si>
  <si>
    <t>Total Costs (2017$)</t>
  </si>
  <si>
    <t>This safety analysis was based on the entire corridor, but was broken into segments to correctly apply Crash Mitigation Factors as proposed and analyzed for each segement.</t>
  </si>
  <si>
    <t>Project Segment</t>
  </si>
  <si>
    <t>End Construction (All segments operational)</t>
  </si>
  <si>
    <t>$2012</t>
  </si>
  <si>
    <t>Phase 2:</t>
  </si>
  <si>
    <t>Phase 3:</t>
  </si>
  <si>
    <t>Entire Project Total                 Annual Travel Time Savings in Hours (Decrease in Vehicle Hours Delay)</t>
  </si>
  <si>
    <t>Phase 2 - Willow Street</t>
  </si>
  <si>
    <t>Total Daily Time Savings                         (((A - B) x C) /3600) x 12</t>
  </si>
  <si>
    <t>Total Daily Time Savings                               (((A - B) x C) /3600) x 12</t>
  </si>
  <si>
    <t>2018$ per Metric Ton</t>
  </si>
  <si>
    <t>Value of Travel Time Savings ($2018)</t>
  </si>
  <si>
    <t>Value of Time for Occupancy  ($2018)</t>
  </si>
  <si>
    <t>$2018</t>
  </si>
  <si>
    <t>FY20 BUILD Grant Capital Costs</t>
  </si>
  <si>
    <t>2020 Existing Conditions         (No Build)                    A</t>
  </si>
  <si>
    <t>2040 Existing Conditions         (No Build)                    A</t>
  </si>
  <si>
    <t>Anaylsis Begin Year</t>
  </si>
  <si>
    <t>Analysis End Year</t>
  </si>
  <si>
    <t xml:space="preserve">2040              Total Vehicles During Peak Hour                           C                     </t>
  </si>
  <si>
    <t>Project Phase 2</t>
  </si>
  <si>
    <t>Project Phase 3</t>
  </si>
  <si>
    <t>Phase 2 and 3</t>
  </si>
  <si>
    <t xml:space="preserve"> Convert 2012$ to 2018$</t>
  </si>
  <si>
    <t>Value of time (2018$ per minute)</t>
  </si>
  <si>
    <t xml:space="preserve"> Convert 2006$ to 2018$</t>
  </si>
  <si>
    <t xml:space="preserve"> Convert 2013$ to 2018$</t>
  </si>
  <si>
    <t>Savings per mile (2018$)</t>
  </si>
  <si>
    <t>Daily value of recreation (2018$)</t>
  </si>
  <si>
    <t>Annual savings per new commuter (2018$)</t>
  </si>
  <si>
    <t>Table 2 - Median Number of Crashes Over 3 Years by Severity by Project Phases*</t>
  </si>
  <si>
    <r>
      <t>Table 3 - Louisiana-Specific Cost of Crashes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</si>
  <si>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Table 4 - Crash Modification Factor by Project Phase</t>
  </si>
  <si>
    <r>
      <t>Table 5 - Crash Modification Factor - Auto Crashes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</si>
  <si>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Convert 2017$ to 2018$</t>
  </si>
  <si>
    <t>2018$</t>
  </si>
  <si>
    <t>Project Phase 3a</t>
  </si>
  <si>
    <t>PHASE 3a:  Total Number and Average Crashes</t>
  </si>
  <si>
    <t>PHASE 3b:  Total Number and Average Crashes</t>
  </si>
  <si>
    <t>Project Phase 3b</t>
  </si>
  <si>
    <t>Project Phase 3c</t>
  </si>
  <si>
    <t>PHASE 3c:  Total Number and Average Crashes</t>
  </si>
  <si>
    <t>Phase 2                          Willow St</t>
  </si>
  <si>
    <t>Phase 3a                     Alcide Dominique</t>
  </si>
  <si>
    <t>Phase 3b                       I-10 Eastbound</t>
  </si>
  <si>
    <t>Phase 3c                              I-10 Westbound</t>
  </si>
  <si>
    <t>Convert 2007$ to 2018$</t>
  </si>
  <si>
    <t>CPI Factor value according to Table A-7 of the Benefit-Cost Analysis Guidance for Discretionary Grant Programs, January 2020 (https://www.transportation.gov/sites/dot.gov/files/2020-01/benefit-cost-analysis-guidance-2020_0.pdf)</t>
  </si>
  <si>
    <t>User benefits were valued according to Table A-3 and A-4 of the Benefit-Cost Analysis Guidance for Discretionary Grant Programs, January 2020 (https://www.transportation.gov/sites/dot.gov/files/2020-01/benefit-cost-analysis-guidance-2020_0.pdf); Average Vehicle Occupancy provided by Acadiana Metropolitan Planning Organization 's Transportation Demand Model</t>
  </si>
  <si>
    <r>
      <t xml:space="preserve">CPI Factor and Mass Conversion Factor from$/short Ton to $/metric ton was derived from </t>
    </r>
    <r>
      <rPr>
        <i/>
        <sz val="11"/>
        <color theme="1"/>
        <rFont val="Calibri"/>
        <family val="2"/>
        <scheme val="minor"/>
      </rPr>
      <t>Benefit-Cost Analysis (BCA) Guidance for Discretionary Grant Programs, January 2020 (https://www.transportation.gov/sites/dot.gov/files/2020-01/benefit-cost-analysis-guidance-2020_0.pdf).</t>
    </r>
  </si>
  <si>
    <r>
      <t xml:space="preserve">Derived from </t>
    </r>
    <r>
      <rPr>
        <i/>
        <sz val="11"/>
        <color theme="1"/>
        <rFont val="Calibri"/>
        <family val="2"/>
        <scheme val="minor"/>
      </rPr>
      <t>Benefit-Cost Analysis (BCA) Guidance for Discretionary Grant Programs, January 2020 (https://www.transportation.gov/sites/dot.gov/files/2020-01/benefit-cost-analysis-guidance-2020_0.pdf)</t>
    </r>
    <r>
      <rPr>
        <sz val="11"/>
        <color theme="1"/>
        <rFont val="Calibri"/>
        <family val="2"/>
        <scheme val="minor"/>
      </rPr>
      <t>.</t>
    </r>
  </si>
  <si>
    <t>Table 5 - Capital Cost Distribution</t>
  </si>
  <si>
    <t>Entire Project Phases 2</t>
  </si>
  <si>
    <t>Entire Project Phase 3</t>
  </si>
  <si>
    <r>
      <t>Table 1 - Daily Delay Reduction (Travel Time Savings) Build vs. No-Build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</si>
  <si>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 xml:space="preserve">Project Analysis Begin Year                              </t>
  </si>
  <si>
    <t xml:space="preserve">Project Analysis End Year                              </t>
  </si>
  <si>
    <t xml:space="preserve">2040 Total Daily Time Savings                   </t>
  </si>
  <si>
    <t xml:space="preserve">2020 Annual Daily Time Savings                                           </t>
  </si>
  <si>
    <t>BCA</t>
  </si>
  <si>
    <r>
      <t>Phase 2 and 3           Annual Traffic Signal Operation and Maintenance Cost   (No Build)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                                              B</t>
    </r>
  </si>
  <si>
    <r>
      <t>Phase 2 and 3   Annual Traffic Signal Operation and Maintenance Cost (Build)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                                       D</t>
    </r>
  </si>
  <si>
    <r>
      <t>Phase 2 and 3            Annual Roadway Operations and Maintenance Savings (Build)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                                      (A - C)</t>
    </r>
  </si>
  <si>
    <r>
      <t>Phase 2 and 3           Annual Traffic Signal Operation and Maintenance Savings (Build)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                                      (B - D)</t>
    </r>
  </si>
  <si>
    <t xml:space="preserve">Phase 2 and 3                              Total Savings                                     (A -C) + (B - D)                      </t>
  </si>
  <si>
    <t>Table 7 - Project Phasing</t>
  </si>
  <si>
    <t>Project Phase</t>
  </si>
  <si>
    <t>Existing Signals</t>
  </si>
  <si>
    <t>Built Condition Signals</t>
  </si>
  <si>
    <t>Signal Reduction Factor</t>
  </si>
  <si>
    <t>Entire Corridor</t>
  </si>
  <si>
    <t>BUILD FY20 BCA SUMMARY - Re-BUILDing University Avenue:  Gateway to Our Future, Lafayette, LA Phases 2 - 3</t>
  </si>
  <si>
    <t>Table 2 - Pre-Construction Costs (2018$)</t>
  </si>
  <si>
    <t>Table 3 - Construction Costs (2018$)</t>
  </si>
  <si>
    <t>Table 4 - Utility Costs (2018$)</t>
  </si>
  <si>
    <t>Phase 3a - Alcide Domonique</t>
  </si>
  <si>
    <t>Phase 3b - I-10 Eastbound</t>
  </si>
  <si>
    <t>Phase 3b Monetized Yearly Rider Time Savings</t>
  </si>
  <si>
    <t>Phase 3c Monetized Yearly Rider Time Savings</t>
  </si>
  <si>
    <t>Phase 3c - I-10 Westbound</t>
  </si>
  <si>
    <t>Table 6 - CPI Adjustment</t>
  </si>
  <si>
    <t>Wilshire Lane to Hollywood Drive</t>
  </si>
  <si>
    <t>I-10 Eastbound Ramp to Renaud Drive</t>
  </si>
  <si>
    <t>I-10 Eastbound</t>
  </si>
  <si>
    <t>I-10 Westbound</t>
  </si>
  <si>
    <t>Walker Road to Wilshire Lane</t>
  </si>
  <si>
    <t>Table 7 - Project Phases Description</t>
  </si>
  <si>
    <t>Table 8 - Percentage Reduction in Number of Signals</t>
  </si>
  <si>
    <t xml:space="preserve">Phase 2 </t>
  </si>
  <si>
    <t>Phase 3a</t>
  </si>
  <si>
    <t>Phase 3c</t>
  </si>
  <si>
    <t>Represents safety improvments from raised median and roundabout installation from Walker Road to Wilshire Lane.</t>
  </si>
  <si>
    <t>Table 7 - Peak Traffic Intersection Delay (Seconds/Veh) Trendline Variables for Phases Prior to Construction</t>
  </si>
  <si>
    <t>Table 1 - Peak Traffic Intersection Delay In Hours (Seconds/Veh) Trendline Variables for Phases Prior to Construction</t>
  </si>
  <si>
    <t>Total Expected Cost of All Crashes on All Project Phases with Installed Countermeasures  (A+B+C+D)</t>
  </si>
  <si>
    <t>Annual Cost of All Crashes No-Build  Scenario                                                      E</t>
  </si>
  <si>
    <t xml:space="preserve">2020                       Total Vehicles During Peak Hour                           C                     </t>
  </si>
  <si>
    <t xml:space="preserve">2040                       Total Vehicles During Peak Hour                           C                     </t>
  </si>
  <si>
    <t>2040                        Existing Conditions             (No Build)                    A</t>
  </si>
  <si>
    <t>2020                        Existing Conditions            (No Build)                    A</t>
  </si>
  <si>
    <t>Year      Number</t>
  </si>
  <si>
    <t>Phase 2            Willow Street         Daily Travel Time Savings (Hours)</t>
  </si>
  <si>
    <t>Phase 2             Willow Street Monetized Yearly Rider Time Savings</t>
  </si>
  <si>
    <t>Quality of Life</t>
  </si>
  <si>
    <t>Phase 3a              Annual Cost of All Crash with Crash Modification Factors Applied                  (CMF # 3)                        B</t>
  </si>
  <si>
    <t>Phase 3b              Annual Cost of All Crash with Crash Modification Factors Applied                            (CMF# 2)                     C</t>
  </si>
  <si>
    <t>Phase 3c              Annual Cost of All Crash with Crash Modification Factors Applied                                 (CMF# 2)                          D</t>
  </si>
  <si>
    <t>Expected Annual Savings of All Crashes with Installed Countermeasures            E - (A+B+C+D)</t>
  </si>
  <si>
    <t>Phase 2                     Annual Cost of All Crash with Crash Modification Factors Applied                  (CMF # 1,2)                  A</t>
  </si>
  <si>
    <t>Representss afety improvements for multilane roundabout installations Wilhsire Lane to Renaud Drive.  Phase 3 has three components due to traffic analysis for each roundabout installation at three separate intersections.</t>
  </si>
  <si>
    <t>Phase 3a - Alcide Dominique</t>
  </si>
  <si>
    <t>Hollywood Drive to I-10 Eastbound Ramp</t>
  </si>
  <si>
    <t>Table 8 - Project Phasing Estimated Completion</t>
  </si>
  <si>
    <t>Phase 3b</t>
  </si>
  <si>
    <r>
      <t>Phase 2 and 3        Annual Roadway Operation and Maintenance Cost   (No Build)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                                                 A</t>
    </r>
  </si>
  <si>
    <r>
      <t>Phase 2 and 3         Annual Roadway Operation and Maintenance Cost (Build)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                                       C</t>
    </r>
  </si>
  <si>
    <t xml:space="preserve">NPV of                             Phase 2 and 3                              Total Savings                                               at 7% Discount                            (A - C) + (B - D)          </t>
  </si>
  <si>
    <t>Phase 3a              Monetized Yearly Rider Time Savings</t>
  </si>
  <si>
    <t>Phase 3a                  Monetized Yearly Rider Time Savings</t>
  </si>
  <si>
    <t>Phase 3c                                  Monetized Yearly Rider Time Savings</t>
  </si>
  <si>
    <t>Roundabout Installed                   (Build)                                  B</t>
  </si>
  <si>
    <t>Roundabout Installed                     (Build)                                   B</t>
  </si>
  <si>
    <t xml:space="preserve">QUALITY OF LIFE BENEFITS OF BICYCLE FACILITIES </t>
  </si>
  <si>
    <t>ENVIRONMENTAL SUSTAINABILITY - AIR QUALITY</t>
  </si>
  <si>
    <t>Catalyst Site 1 - University Avenue and Alcide Dominique Fronting Interstate 10 Eastbound</t>
  </si>
  <si>
    <t>Mixed Use Retail  Site and Two Restaurant Sites</t>
  </si>
  <si>
    <t>Year Number</t>
  </si>
  <si>
    <r>
      <t xml:space="preserve">Proposed Mixed Use Retail Development Gross Square Footage            </t>
    </r>
    <r>
      <rPr>
        <i/>
        <sz val="11"/>
        <color theme="1"/>
        <rFont val="Calibri"/>
        <family val="2"/>
        <scheme val="minor"/>
      </rPr>
      <t>A</t>
    </r>
  </si>
  <si>
    <t>Comparative Lower Decile Owned Gross Lease Area Mixed Use Retail</t>
  </si>
  <si>
    <t>Comparative Lower Decile Sales Per Gross Lease Area ($2008)</t>
  </si>
  <si>
    <t>Comparative Lower Decile Sales Per Gross Lease Area ($2018)</t>
  </si>
  <si>
    <r>
      <t xml:space="preserve">Comparative Lower Decile Sales Per Gross Lease Area  (1.5% Growth Rate)                          </t>
    </r>
    <r>
      <rPr>
        <i/>
        <sz val="11"/>
        <color theme="1"/>
        <rFont val="Calibri"/>
        <family val="2"/>
        <scheme val="minor"/>
      </rPr>
      <t>B</t>
    </r>
  </si>
  <si>
    <t>Proposed Restaurant Development Gross Square Footage (2)      C</t>
  </si>
  <si>
    <t>Comparative Lower Decile Owned Gross Lease Area Restaurant</t>
  </si>
  <si>
    <t>Comparative Lower Decile Sales Per Gross Lease Area                     D</t>
  </si>
  <si>
    <t>Proposed Development Estimated Total Sales            (A*B)+(C*D)</t>
  </si>
  <si>
    <t>Proposed Development Annual Sales Tax Estimate (2% Sales Tax Rate)</t>
  </si>
  <si>
    <t>Proposed Development Annual EDD Estimate (1% Sales Tax Rate)</t>
  </si>
  <si>
    <t>Catalyst Project 1 Estimated Total Benefit</t>
  </si>
  <si>
    <t>Catalyst Site 2 - University Avenue and Willow Street</t>
  </si>
  <si>
    <t>Neighborhood Retail</t>
  </si>
  <si>
    <t>Proposed Development Gross Square Footage</t>
  </si>
  <si>
    <t>Comparative Lower Decile Owned Gross Lease Area</t>
  </si>
  <si>
    <t xml:space="preserve">Comparative Lower Decile Sales Per Gross Lease Area     (1.5% Growth Rate) </t>
  </si>
  <si>
    <t>Proposed Development Estimated Total Sales</t>
  </si>
  <si>
    <t>Catalyst Project 2 Estimated Total Benefit</t>
  </si>
  <si>
    <t>Catalyst Site 3 - University Avenue and Cameron Street</t>
  </si>
  <si>
    <t>Retail</t>
  </si>
  <si>
    <t xml:space="preserve">Comparative Lower Decile Sales Per Gross Lease Area   (1.5% Growth Rate) </t>
  </si>
  <si>
    <t>Catalyst Project 3 Estimated Total Benefit</t>
  </si>
  <si>
    <r>
      <t>Estimated Sales Tax and Economic Development District Revenue from Catalyst Site Development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</si>
  <si>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Revenue estimates were based on lower decile estimates from “Dollars &amp; Cents of Shopping Centers/The Score 2008,” </t>
    </r>
    <r>
      <rPr>
        <i/>
        <sz val="11"/>
        <color theme="1"/>
        <rFont val="Calibri"/>
        <family val="2"/>
        <scheme val="minor"/>
      </rPr>
      <t>Urban Land Institute</t>
    </r>
    <r>
      <rPr>
        <sz val="11"/>
        <color theme="1"/>
        <rFont val="Calibri"/>
        <family val="2"/>
        <scheme val="minor"/>
      </rPr>
      <t>, 2008.</t>
    </r>
  </si>
  <si>
    <t>Sales Tax Estimate (2% Sales Tax Rate)</t>
  </si>
  <si>
    <t>EDD Revenue Estimate (1% Sales Tax Rate)</t>
  </si>
  <si>
    <t>Estimated Total Sales</t>
  </si>
  <si>
    <t>Totals</t>
  </si>
  <si>
    <t>Catalyst Site Estimated Sales Tax and Economic Development District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</si>
</sst>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_(&quot;$&quot;* #,##0_);_(&quot;$&quot;* \(#,##0\);_(&quot;$&quot;* &quot;-&quot;??_);_(@_)"/>
    <numFmt numFmtId="167" formatCode="&quot;$&quot;#,##0\ ;\(&quot;$&quot;#,##0\)"/>
    <numFmt numFmtId="168" formatCode="_(* #,##0_);_(* \(#,##0\);_(* &quot;-&quot;??_);_(@_)"/>
    <numFmt numFmtId="169" formatCode="0.0%"/>
    <numFmt numFmtId="170" formatCode="#0.0"/>
    <numFmt numFmtId="171" formatCode="_(* #,##0.0_);_(* \(#,##0.0\);_(* &quot;-&quot;??_);_(@_)"/>
    <numFmt numFmtId="172" formatCode="&quot;$&quot;#,##0.00"/>
    <numFmt numFmtId="173" formatCode="0.000%"/>
    <numFmt numFmtId="174" formatCode="0.000"/>
    <numFmt numFmtId="175" formatCode="0.0000"/>
    <numFmt numFmtId="176" formatCode="#,##0.0000_);[Red]\(#,##0.0000\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Arial Narrow"/>
      <family val="2"/>
    </font>
    <font>
      <b/>
      <sz val="1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Arial Black"/>
      <family val="2"/>
    </font>
    <font>
      <sz val="11"/>
      <color theme="1"/>
      <name val="Arial Black"/>
      <family val="2"/>
    </font>
    <font>
      <sz val="11"/>
      <color indexed="8"/>
      <name val="Arial"/>
      <family val="2"/>
    </font>
    <font>
      <sz val="10"/>
      <color indexed="8"/>
      <name val="SWISS"/>
    </font>
    <font>
      <sz val="10"/>
      <color indexed="8"/>
      <name val="SansSerif"/>
      <charset val="2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705">
    <xf numFmtId="0" fontId="0" fillId="0" borderId="0" xfId="0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/>
    <xf numFmtId="164" fontId="2" fillId="0" borderId="17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9" fillId="0" borderId="25" xfId="0" applyFont="1" applyFill="1" applyBorder="1" applyAlignment="1">
      <alignment horizontal="left"/>
    </xf>
    <xf numFmtId="0" fontId="10" fillId="0" borderId="25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0" fillId="0" borderId="0" xfId="0" applyFill="1"/>
    <xf numFmtId="0" fontId="5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ill="1" applyAlignment="1">
      <alignment vertical="top" wrapText="1"/>
    </xf>
    <xf numFmtId="0" fontId="5" fillId="0" borderId="0" xfId="0" applyFont="1" applyFill="1" applyBorder="1"/>
    <xf numFmtId="0" fontId="0" fillId="0" borderId="0" xfId="0" applyBorder="1"/>
    <xf numFmtId="0" fontId="5" fillId="0" borderId="0" xfId="0" applyFont="1" applyFill="1" applyBorder="1" applyAlignment="1">
      <alignment horizontal="left"/>
    </xf>
    <xf numFmtId="6" fontId="0" fillId="0" borderId="0" xfId="0" applyNumberFormat="1" applyFill="1" applyBorder="1" applyAlignment="1">
      <alignment horizontal="center"/>
    </xf>
    <xf numFmtId="0" fontId="0" fillId="0" borderId="0" xfId="0" applyFont="1" applyFill="1"/>
    <xf numFmtId="0" fontId="0" fillId="0" borderId="25" xfId="0" applyFont="1" applyFill="1" applyBorder="1"/>
    <xf numFmtId="0" fontId="0" fillId="0" borderId="2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/>
    <xf numFmtId="166" fontId="0" fillId="0" borderId="0" xfId="0" applyNumberFormat="1"/>
    <xf numFmtId="166" fontId="9" fillId="0" borderId="25" xfId="1" applyNumberFormat="1" applyFont="1" applyFill="1" applyBorder="1" applyAlignment="1">
      <alignment horizontal="center"/>
    </xf>
    <xf numFmtId="0" fontId="0" fillId="0" borderId="28" xfId="0" applyBorder="1"/>
    <xf numFmtId="168" fontId="5" fillId="0" borderId="0" xfId="15" applyNumberFormat="1" applyFont="1"/>
    <xf numFmtId="0" fontId="5" fillId="0" borderId="0" xfId="0" applyFont="1" applyFill="1" applyAlignment="1">
      <alignment horizontal="left"/>
    </xf>
    <xf numFmtId="0" fontId="0" fillId="0" borderId="0" xfId="0" applyFill="1" applyBorder="1" applyAlignment="1"/>
    <xf numFmtId="164" fontId="2" fillId="0" borderId="25" xfId="0" applyNumberFormat="1" applyFont="1" applyBorder="1" applyAlignment="1">
      <alignment horizontal="center"/>
    </xf>
    <xf numFmtId="168" fontId="0" fillId="0" borderId="0" xfId="15" applyNumberFormat="1" applyFont="1" applyBorder="1"/>
    <xf numFmtId="2" fontId="0" fillId="0" borderId="0" xfId="0" applyNumberForma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8" fillId="0" borderId="0" xfId="2"/>
    <xf numFmtId="0" fontId="0" fillId="0" borderId="25" xfId="0" applyFont="1" applyFill="1" applyBorder="1" applyAlignment="1">
      <alignment horizontal="left"/>
    </xf>
    <xf numFmtId="166" fontId="0" fillId="0" borderId="25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18" fillId="0" borderId="0" xfId="17"/>
    <xf numFmtId="0" fontId="20" fillId="0" borderId="0" xfId="17" applyFont="1" applyFill="1" applyAlignment="1">
      <alignment horizontal="left" vertical="top" wrapText="1"/>
    </xf>
    <xf numFmtId="0" fontId="20" fillId="0" borderId="51" xfId="17" applyFont="1" applyFill="1" applyBorder="1" applyAlignment="1">
      <alignment horizontal="center" wrapText="1"/>
    </xf>
    <xf numFmtId="0" fontId="20" fillId="0" borderId="0" xfId="17" applyFont="1" applyFill="1" applyAlignment="1">
      <alignment horizontal="left"/>
    </xf>
    <xf numFmtId="170" fontId="21" fillId="0" borderId="0" xfId="17" applyNumberFormat="1" applyFont="1" applyFill="1" applyAlignment="1">
      <alignment horizontal="right"/>
    </xf>
    <xf numFmtId="170" fontId="16" fillId="0" borderId="0" xfId="17" applyNumberFormat="1" applyFont="1" applyFill="1" applyAlignment="1">
      <alignment horizontal="right"/>
    </xf>
    <xf numFmtId="170" fontId="16" fillId="2" borderId="0" xfId="17" applyNumberFormat="1" applyFont="1" applyFill="1" applyAlignment="1">
      <alignment horizontal="right"/>
    </xf>
    <xf numFmtId="0" fontId="2" fillId="0" borderId="43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2" fillId="0" borderId="7" xfId="15" applyNumberFormat="1" applyFont="1" applyBorder="1" applyAlignment="1">
      <alignment horizontal="center"/>
    </xf>
    <xf numFmtId="3" fontId="2" fillId="0" borderId="25" xfId="15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42" xfId="0" applyBorder="1" applyAlignment="1"/>
    <xf numFmtId="2" fontId="0" fillId="0" borderId="25" xfId="0" applyNumberFormat="1" applyFont="1" applyFill="1" applyBorder="1" applyAlignment="1">
      <alignment horizontal="center"/>
    </xf>
    <xf numFmtId="0" fontId="8" fillId="0" borderId="0" xfId="2" applyFont="1" applyAlignment="1">
      <alignment horizontal="left"/>
    </xf>
    <xf numFmtId="2" fontId="8" fillId="0" borderId="0" xfId="2" applyNumberFormat="1" applyFont="1" applyAlignment="1">
      <alignment horizontal="center"/>
    </xf>
    <xf numFmtId="2" fontId="8" fillId="0" borderId="0" xfId="2" applyNumberFormat="1" applyAlignment="1">
      <alignment horizont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0" fillId="0" borderId="20" xfId="0" applyFont="1" applyFill="1" applyBorder="1" applyAlignment="1"/>
    <xf numFmtId="0" fontId="0" fillId="0" borderId="0" xfId="0" applyFill="1" applyAlignment="1">
      <alignment horizontal="left"/>
    </xf>
    <xf numFmtId="0" fontId="5" fillId="0" borderId="0" xfId="0" applyFont="1" applyAlignment="1">
      <alignment horizontal="left"/>
    </xf>
    <xf numFmtId="164" fontId="23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25" xfId="0" applyNumberFormat="1" applyFont="1" applyFill="1" applyBorder="1" applyAlignment="1">
      <alignment horizontal="left"/>
    </xf>
    <xf numFmtId="0" fontId="0" fillId="0" borderId="25" xfId="0" applyFont="1" applyFill="1" applyBorder="1" applyAlignment="1"/>
    <xf numFmtId="0" fontId="22" fillId="0" borderId="25" xfId="0" applyFont="1" applyFill="1" applyBorder="1"/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3" fillId="0" borderId="0" xfId="0" applyNumberFormat="1" applyFont="1" applyBorder="1" applyAlignment="1"/>
    <xf numFmtId="164" fontId="2" fillId="0" borderId="0" xfId="0" applyNumberFormat="1" applyFont="1" applyBorder="1" applyAlignment="1">
      <alignment horizontal="left"/>
    </xf>
    <xf numFmtId="166" fontId="2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9" fontId="24" fillId="0" borderId="0" xfId="16" applyFont="1" applyBorder="1" applyAlignment="1">
      <alignment horizontal="center" vertical="center"/>
    </xf>
    <xf numFmtId="5" fontId="3" fillId="0" borderId="0" xfId="1" applyNumberFormat="1" applyFont="1" applyFill="1" applyBorder="1" applyAlignment="1">
      <alignment horizontal="center"/>
    </xf>
    <xf numFmtId="0" fontId="0" fillId="0" borderId="42" xfId="0" applyFont="1" applyFill="1" applyBorder="1" applyAlignment="1">
      <alignment horizontal="left"/>
    </xf>
    <xf numFmtId="0" fontId="0" fillId="0" borderId="42" xfId="0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right" vertical="top"/>
    </xf>
    <xf numFmtId="0" fontId="2" fillId="0" borderId="12" xfId="0" applyFont="1" applyFill="1" applyBorder="1" applyAlignment="1">
      <alignment horizontal="center" vertical="center"/>
    </xf>
    <xf numFmtId="164" fontId="2" fillId="0" borderId="17" xfId="1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vertical="top" wrapText="1"/>
    </xf>
    <xf numFmtId="3" fontId="0" fillId="0" borderId="0" xfId="0" applyNumberFormat="1" applyFill="1" applyAlignment="1">
      <alignment horizontal="center" wrapText="1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3" fontId="0" fillId="0" borderId="0" xfId="0" applyNumberFormat="1"/>
    <xf numFmtId="0" fontId="22" fillId="0" borderId="0" xfId="0" applyFont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/>
    <xf numFmtId="0" fontId="18" fillId="0" borderId="0" xfId="17"/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0" fontId="27" fillId="0" borderId="0" xfId="17" applyNumberFormat="1" applyFont="1"/>
    <xf numFmtId="3" fontId="8" fillId="0" borderId="0" xfId="0" applyNumberFormat="1" applyFont="1"/>
    <xf numFmtId="3" fontId="28" fillId="0" borderId="0" xfId="0" applyNumberFormat="1" applyFont="1" applyAlignment="1"/>
    <xf numFmtId="3" fontId="29" fillId="0" borderId="0" xfId="0" applyNumberFormat="1" applyFont="1" applyBorder="1" applyAlignment="1">
      <alignment vertical="top" wrapText="1"/>
    </xf>
    <xf numFmtId="3" fontId="8" fillId="0" borderId="0" xfId="0" applyNumberFormat="1" applyFont="1" applyAlignment="1"/>
    <xf numFmtId="0" fontId="29" fillId="0" borderId="0" xfId="0" applyFont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164" fontId="2" fillId="0" borderId="26" xfId="0" applyNumberFormat="1" applyFont="1" applyFill="1" applyBorder="1" applyAlignment="1">
      <alignment horizontal="center" vertical="center"/>
    </xf>
    <xf numFmtId="164" fontId="2" fillId="0" borderId="43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" fillId="0" borderId="10" xfId="0" applyFont="1" applyBorder="1" applyAlignment="1">
      <alignment horizontal="center"/>
    </xf>
    <xf numFmtId="44" fontId="0" fillId="0" borderId="0" xfId="0" applyNumberFormat="1" applyBorder="1"/>
    <xf numFmtId="44" fontId="0" fillId="0" borderId="0" xfId="0" applyNumberFormat="1" applyBorder="1" applyAlignment="1">
      <alignment horizontal="center"/>
    </xf>
    <xf numFmtId="166" fontId="10" fillId="0" borderId="0" xfId="1" applyNumberFormat="1" applyFont="1" applyBorder="1" applyAlignment="1">
      <alignment vertical="center"/>
    </xf>
    <xf numFmtId="166" fontId="0" fillId="0" borderId="0" xfId="0" applyNumberFormat="1" applyBorder="1" applyAlignment="1">
      <alignment horizontal="center"/>
    </xf>
    <xf numFmtId="164" fontId="0" fillId="0" borderId="0" xfId="0" applyNumberFormat="1"/>
    <xf numFmtId="164" fontId="12" fillId="0" borderId="0" xfId="0" applyNumberFormat="1" applyFont="1"/>
    <xf numFmtId="164" fontId="0" fillId="0" borderId="25" xfId="0" applyNumberForma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5" xfId="0" applyFill="1" applyBorder="1"/>
    <xf numFmtId="0" fontId="0" fillId="0" borderId="0" xfId="0"/>
    <xf numFmtId="10" fontId="0" fillId="0" borderId="0" xfId="0" applyNumberFormat="1"/>
    <xf numFmtId="0" fontId="0" fillId="0" borderId="0" xfId="0"/>
    <xf numFmtId="8" fontId="0" fillId="0" borderId="0" xfId="0" applyNumberFormat="1"/>
    <xf numFmtId="8" fontId="0" fillId="0" borderId="25" xfId="0" applyNumberFormat="1" applyBorder="1"/>
    <xf numFmtId="164" fontId="2" fillId="0" borderId="29" xfId="0" applyNumberFormat="1" applyFont="1" applyBorder="1" applyAlignment="1">
      <alignment horizontal="center"/>
    </xf>
    <xf numFmtId="5" fontId="2" fillId="0" borderId="12" xfId="0" applyNumberFormat="1" applyFon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37" fontId="2" fillId="0" borderId="36" xfId="0" applyNumberFormat="1" applyFont="1" applyFill="1" applyBorder="1" applyAlignment="1">
      <alignment horizontal="center"/>
    </xf>
    <xf numFmtId="37" fontId="2" fillId="0" borderId="25" xfId="0" applyNumberFormat="1" applyFont="1" applyFill="1" applyBorder="1" applyAlignment="1">
      <alignment horizontal="center"/>
    </xf>
    <xf numFmtId="37" fontId="2" fillId="0" borderId="32" xfId="0" applyNumberFormat="1" applyFont="1" applyFill="1" applyBorder="1" applyAlignment="1">
      <alignment horizontal="center"/>
    </xf>
    <xf numFmtId="37" fontId="2" fillId="0" borderId="49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6" fontId="0" fillId="0" borderId="25" xfId="0" applyNumberFormat="1" applyBorder="1" applyAlignment="1">
      <alignment horizontal="center"/>
    </xf>
    <xf numFmtId="3" fontId="2" fillId="0" borderId="0" xfId="0" applyNumberFormat="1" applyFont="1" applyFill="1"/>
    <xf numFmtId="164" fontId="30" fillId="0" borderId="0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4" fontId="3" fillId="0" borderId="59" xfId="0" applyNumberFormat="1" applyFont="1" applyBorder="1" applyAlignment="1">
      <alignment horizontal="center" vertical="center"/>
    </xf>
    <xf numFmtId="164" fontId="3" fillId="0" borderId="59" xfId="0" applyNumberFormat="1" applyFont="1" applyFill="1" applyBorder="1" applyAlignment="1">
      <alignment horizontal="center"/>
    </xf>
    <xf numFmtId="0" fontId="9" fillId="0" borderId="25" xfId="0" applyFont="1" applyFill="1" applyBorder="1" applyAlignment="1">
      <alignment horizontal="right"/>
    </xf>
    <xf numFmtId="0" fontId="30" fillId="0" borderId="0" xfId="0" applyFont="1"/>
    <xf numFmtId="0" fontId="30" fillId="0" borderId="0" xfId="0" applyFont="1" applyFill="1"/>
    <xf numFmtId="0" fontId="32" fillId="0" borderId="0" xfId="17" applyFont="1"/>
    <xf numFmtId="3" fontId="33" fillId="0" borderId="0" xfId="0" applyNumberFormat="1" applyFont="1"/>
    <xf numFmtId="3" fontId="0" fillId="0" borderId="0" xfId="0" applyNumberFormat="1" applyFont="1"/>
    <xf numFmtId="3" fontId="34" fillId="0" borderId="0" xfId="0" applyNumberFormat="1" applyFont="1"/>
    <xf numFmtId="3" fontId="35" fillId="0" borderId="0" xfId="0" applyNumberFormat="1" applyFont="1"/>
    <xf numFmtId="1" fontId="34" fillId="0" borderId="0" xfId="0" applyNumberFormat="1" applyFont="1"/>
    <xf numFmtId="4" fontId="34" fillId="0" borderId="0" xfId="0" applyNumberFormat="1" applyFont="1"/>
    <xf numFmtId="3" fontId="34" fillId="0" borderId="0" xfId="0" applyNumberFormat="1" applyFont="1" applyBorder="1"/>
    <xf numFmtId="3" fontId="36" fillId="0" borderId="0" xfId="0" applyNumberFormat="1" applyFont="1" applyAlignment="1"/>
    <xf numFmtId="3" fontId="35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right"/>
    </xf>
    <xf numFmtId="1" fontId="34" fillId="0" borderId="0" xfId="0" applyNumberFormat="1" applyFont="1" applyFill="1"/>
    <xf numFmtId="3" fontId="34" fillId="0" borderId="0" xfId="0" applyNumberFormat="1" applyFont="1" applyFill="1"/>
    <xf numFmtId="4" fontId="34" fillId="0" borderId="0" xfId="0" applyNumberFormat="1" applyFont="1" applyFill="1"/>
    <xf numFmtId="3" fontId="36" fillId="0" borderId="0" xfId="0" applyNumberFormat="1" applyFont="1" applyBorder="1" applyAlignment="1">
      <alignment vertical="top" wrapText="1"/>
    </xf>
    <xf numFmtId="3" fontId="34" fillId="0" borderId="0" xfId="0" applyNumberFormat="1" applyFont="1" applyAlignment="1"/>
    <xf numFmtId="3" fontId="37" fillId="0" borderId="0" xfId="0" applyNumberFormat="1" applyFont="1" applyBorder="1" applyAlignment="1">
      <alignment vertical="top" wrapText="1"/>
    </xf>
    <xf numFmtId="3" fontId="34" fillId="0" borderId="0" xfId="0" applyNumberFormat="1" applyFont="1" applyBorder="1" applyAlignment="1">
      <alignment horizontal="right"/>
    </xf>
    <xf numFmtId="173" fontId="34" fillId="0" borderId="0" xfId="0" applyNumberFormat="1" applyFont="1"/>
    <xf numFmtId="10" fontId="34" fillId="0" borderId="0" xfId="0" applyNumberFormat="1" applyFont="1"/>
    <xf numFmtId="2" fontId="0" fillId="0" borderId="0" xfId="0" applyNumberFormat="1" applyFont="1" applyFill="1" applyBorder="1" applyAlignment="1">
      <alignment horizontal="center"/>
    </xf>
    <xf numFmtId="164" fontId="3" fillId="0" borderId="5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2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8" fillId="0" borderId="0" xfId="17"/>
    <xf numFmtId="0" fontId="0" fillId="0" borderId="25" xfId="0" applyFont="1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25" xfId="0" applyFont="1" applyFill="1" applyBorder="1" applyAlignment="1">
      <alignment horizontal="left"/>
    </xf>
    <xf numFmtId="170" fontId="21" fillId="3" borderId="0" xfId="17" applyNumberFormat="1" applyFont="1" applyFill="1" applyAlignment="1">
      <alignment horizontal="right"/>
    </xf>
    <xf numFmtId="170" fontId="16" fillId="3" borderId="0" xfId="17" applyNumberFormat="1" applyFont="1" applyFill="1" applyAlignment="1">
      <alignment horizontal="right"/>
    </xf>
    <xf numFmtId="0" fontId="18" fillId="3" borderId="0" xfId="17" applyFill="1"/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/>
    </xf>
    <xf numFmtId="175" fontId="0" fillId="0" borderId="25" xfId="0" applyNumberFormat="1" applyFont="1" applyFill="1" applyBorder="1" applyAlignment="1">
      <alignment horizontal="center"/>
    </xf>
    <xf numFmtId="174" fontId="0" fillId="0" borderId="0" xfId="0" applyNumberFormat="1" applyBorder="1" applyAlignment="1">
      <alignment horizontal="center"/>
    </xf>
    <xf numFmtId="174" fontId="0" fillId="0" borderId="25" xfId="0" applyNumberFormat="1" applyBorder="1" applyAlignment="1">
      <alignment horizontal="left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10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15" applyNumberFormat="1" applyFont="1" applyBorder="1" applyAlignment="1">
      <alignment horizontal="center"/>
    </xf>
    <xf numFmtId="0" fontId="0" fillId="0" borderId="0" xfId="0" applyNumberFormat="1" applyBorder="1"/>
    <xf numFmtId="0" fontId="0" fillId="0" borderId="0" xfId="0" applyNumberFormat="1"/>
    <xf numFmtId="168" fontId="2" fillId="0" borderId="0" xfId="15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5" xfId="15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2" fontId="2" fillId="0" borderId="25" xfId="15" applyNumberFormat="1" applyFont="1" applyBorder="1" applyAlignment="1">
      <alignment horizontal="center"/>
    </xf>
    <xf numFmtId="4" fontId="2" fillId="0" borderId="25" xfId="15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8" fontId="2" fillId="0" borderId="25" xfId="15" applyNumberFormat="1" applyFont="1" applyBorder="1" applyAlignment="1">
      <alignment horizontal="center" wrapText="1"/>
    </xf>
    <xf numFmtId="168" fontId="2" fillId="0" borderId="25" xfId="0" applyNumberFormat="1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40" fillId="0" borderId="25" xfId="0" applyFont="1" applyFill="1" applyBorder="1" applyAlignment="1">
      <alignment horizontal="left"/>
    </xf>
    <xf numFmtId="1" fontId="2" fillId="0" borderId="0" xfId="15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Border="1"/>
    <xf numFmtId="1" fontId="2" fillId="0" borderId="25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2" fillId="0" borderId="25" xfId="0" applyNumberFormat="1" applyFont="1" applyBorder="1" applyAlignment="1">
      <alignment horizontal="center"/>
    </xf>
    <xf numFmtId="5" fontId="3" fillId="0" borderId="59" xfId="0" applyNumberFormat="1" applyFont="1" applyBorder="1" applyAlignment="1">
      <alignment horizontal="center"/>
    </xf>
    <xf numFmtId="5" fontId="3" fillId="4" borderId="5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top" wrapText="1"/>
    </xf>
    <xf numFmtId="44" fontId="0" fillId="0" borderId="0" xfId="1" applyFont="1" applyBorder="1"/>
    <xf numFmtId="172" fontId="2" fillId="0" borderId="2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7" fontId="0" fillId="0" borderId="0" xfId="15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9" fontId="2" fillId="0" borderId="12" xfId="0" applyNumberFormat="1" applyFont="1" applyBorder="1" applyAlignment="1">
      <alignment horizontal="center"/>
    </xf>
    <xf numFmtId="39" fontId="3" fillId="0" borderId="59" xfId="0" applyNumberFormat="1" applyFont="1" applyBorder="1" applyAlignment="1">
      <alignment horizontal="center"/>
    </xf>
    <xf numFmtId="49" fontId="22" fillId="0" borderId="0" xfId="0" applyNumberFormat="1" applyFont="1" applyFill="1" applyBorder="1" applyAlignment="1"/>
    <xf numFmtId="49" fontId="22" fillId="0" borderId="25" xfId="0" applyNumberFormat="1" applyFont="1" applyFill="1" applyBorder="1" applyAlignment="1">
      <alignment horizontal="center"/>
    </xf>
    <xf numFmtId="2" fontId="0" fillId="0" borderId="25" xfId="0" applyNumberFormat="1" applyFont="1" applyFill="1" applyBorder="1"/>
    <xf numFmtId="2" fontId="0" fillId="0" borderId="25" xfId="0" applyNumberForma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30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5" fontId="3" fillId="0" borderId="0" xfId="0" applyNumberFormat="1" applyFont="1" applyBorder="1" applyAlignment="1">
      <alignment horizontal="center"/>
    </xf>
    <xf numFmtId="39" fontId="3" fillId="0" borderId="0" xfId="0" applyNumberFormat="1" applyFont="1" applyBorder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40" fillId="0" borderId="20" xfId="0" applyFont="1" applyFill="1" applyBorder="1" applyAlignment="1">
      <alignment horizontal="left"/>
    </xf>
    <xf numFmtId="0" fontId="40" fillId="0" borderId="25" xfId="0" applyFont="1" applyBorder="1" applyAlignment="1">
      <alignment horizontal="center"/>
    </xf>
    <xf numFmtId="0" fontId="41" fillId="0" borderId="25" xfId="0" applyFont="1" applyFill="1" applyBorder="1" applyAlignment="1">
      <alignment horizontal="left"/>
    </xf>
    <xf numFmtId="0" fontId="41" fillId="0" borderId="25" xfId="0" applyFont="1" applyFill="1" applyBorder="1" applyAlignment="1">
      <alignment horizontal="center" vertical="center"/>
    </xf>
    <xf numFmtId="0" fontId="40" fillId="0" borderId="25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horizontal="left"/>
    </xf>
    <xf numFmtId="0" fontId="40" fillId="0" borderId="25" xfId="0" applyFont="1" applyFill="1" applyBorder="1"/>
    <xf numFmtId="1" fontId="40" fillId="0" borderId="25" xfId="0" applyNumberFormat="1" applyFont="1" applyBorder="1" applyAlignment="1">
      <alignment horizontal="center" wrapText="1"/>
    </xf>
    <xf numFmtId="173" fontId="40" fillId="0" borderId="25" xfId="0" applyNumberFormat="1" applyFont="1" applyBorder="1"/>
    <xf numFmtId="169" fontId="40" fillId="0" borderId="25" xfId="0" applyNumberFormat="1" applyFont="1" applyBorder="1"/>
    <xf numFmtId="9" fontId="40" fillId="0" borderId="25" xfId="0" applyNumberFormat="1" applyFont="1" applyBorder="1"/>
    <xf numFmtId="171" fontId="34" fillId="0" borderId="25" xfId="15" applyNumberFormat="1" applyFont="1" applyFill="1" applyBorder="1"/>
    <xf numFmtId="0" fontId="43" fillId="0" borderId="25" xfId="0" applyFont="1" applyBorder="1" applyAlignment="1">
      <alignment horizontal="center"/>
    </xf>
    <xf numFmtId="3" fontId="40" fillId="0" borderId="25" xfId="0" applyNumberFormat="1" applyFont="1" applyBorder="1" applyAlignment="1">
      <alignment horizontal="center"/>
    </xf>
    <xf numFmtId="3" fontId="40" fillId="0" borderId="52" xfId="0" applyNumberFormat="1" applyFont="1" applyFill="1" applyBorder="1" applyAlignment="1">
      <alignment horizontal="center"/>
    </xf>
    <xf numFmtId="3" fontId="40" fillId="0" borderId="56" xfId="0" applyNumberFormat="1" applyFont="1" applyBorder="1" applyAlignment="1">
      <alignment horizontal="center"/>
    </xf>
    <xf numFmtId="40" fontId="40" fillId="0" borderId="25" xfId="0" applyNumberFormat="1" applyFont="1" applyFill="1" applyBorder="1" applyAlignment="1">
      <alignment horizontal="center"/>
    </xf>
    <xf numFmtId="44" fontId="40" fillId="0" borderId="25" xfId="1" applyFont="1" applyFill="1" applyBorder="1" applyAlignment="1">
      <alignment horizontal="center"/>
    </xf>
    <xf numFmtId="166" fontId="40" fillId="0" borderId="25" xfId="1" applyNumberFormat="1" applyFont="1" applyBorder="1"/>
    <xf numFmtId="0" fontId="40" fillId="0" borderId="25" xfId="0" applyFont="1" applyBorder="1"/>
    <xf numFmtId="44" fontId="40" fillId="0" borderId="25" xfId="1" applyFont="1" applyBorder="1"/>
    <xf numFmtId="175" fontId="40" fillId="0" borderId="25" xfId="0" applyNumberFormat="1" applyFont="1" applyFill="1" applyBorder="1" applyAlignment="1">
      <alignment horizontal="center"/>
    </xf>
    <xf numFmtId="175" fontId="40" fillId="0" borderId="25" xfId="0" applyNumberFormat="1" applyFont="1" applyFill="1" applyBorder="1" applyAlignment="1"/>
    <xf numFmtId="0" fontId="0" fillId="0" borderId="0" xfId="0" applyFill="1" applyAlignment="1">
      <alignment horizontal="right" vertical="center"/>
    </xf>
    <xf numFmtId="0" fontId="42" fillId="0" borderId="0" xfId="0" applyFont="1" applyBorder="1" applyAlignment="1"/>
    <xf numFmtId="9" fontId="40" fillId="0" borderId="25" xfId="0" applyNumberFormat="1" applyFont="1" applyBorder="1" applyAlignment="1">
      <alignment horizontal="center"/>
    </xf>
    <xf numFmtId="164" fontId="2" fillId="0" borderId="69" xfId="0" applyNumberFormat="1" applyFont="1" applyBorder="1" applyAlignment="1">
      <alignment horizontal="center"/>
    </xf>
    <xf numFmtId="164" fontId="2" fillId="0" borderId="71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0" fillId="0" borderId="22" xfId="0" applyFill="1" applyBorder="1"/>
    <xf numFmtId="0" fontId="5" fillId="5" borderId="11" xfId="0" applyFont="1" applyFill="1" applyBorder="1"/>
    <xf numFmtId="0" fontId="5" fillId="5" borderId="70" xfId="0" applyFont="1" applyFill="1" applyBorder="1"/>
    <xf numFmtId="0" fontId="5" fillId="5" borderId="10" xfId="0" applyFont="1" applyFill="1" applyBorder="1"/>
    <xf numFmtId="0" fontId="0" fillId="0" borderId="0" xfId="0" applyFill="1" applyBorder="1" applyAlignment="1">
      <alignment horizontal="center"/>
    </xf>
    <xf numFmtId="164" fontId="3" fillId="0" borderId="59" xfId="0" applyNumberFormat="1" applyFont="1" applyBorder="1" applyAlignment="1">
      <alignment horizontal="center"/>
    </xf>
    <xf numFmtId="0" fontId="3" fillId="0" borderId="25" xfId="15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4" fontId="3" fillId="0" borderId="25" xfId="15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3" fontId="3" fillId="0" borderId="25" xfId="15" applyNumberFormat="1" applyFont="1" applyBorder="1" applyAlignment="1">
      <alignment horizontal="center"/>
    </xf>
    <xf numFmtId="3" fontId="2" fillId="0" borderId="72" xfId="15" applyNumberFormat="1" applyFont="1" applyBorder="1" applyAlignment="1">
      <alignment horizontal="center"/>
    </xf>
    <xf numFmtId="175" fontId="2" fillId="0" borderId="6" xfId="0" applyNumberFormat="1" applyFont="1" applyFill="1" applyBorder="1" applyAlignment="1">
      <alignment horizontal="center"/>
    </xf>
    <xf numFmtId="175" fontId="2" fillId="0" borderId="3" xfId="0" applyNumberFormat="1" applyFont="1" applyFill="1" applyBorder="1" applyAlignment="1">
      <alignment horizontal="center"/>
    </xf>
    <xf numFmtId="175" fontId="2" fillId="0" borderId="20" xfId="0" applyNumberFormat="1" applyFont="1" applyFill="1" applyBorder="1" applyAlignment="1">
      <alignment horizontal="center"/>
    </xf>
    <xf numFmtId="175" fontId="2" fillId="0" borderId="18" xfId="0" applyNumberFormat="1" applyFont="1" applyFill="1" applyBorder="1" applyAlignment="1">
      <alignment horizontal="center"/>
    </xf>
    <xf numFmtId="0" fontId="38" fillId="0" borderId="0" xfId="0" applyFont="1" applyFill="1"/>
    <xf numFmtId="0" fontId="0" fillId="0" borderId="25" xfId="0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6" fontId="2" fillId="0" borderId="43" xfId="0" applyNumberFormat="1" applyFont="1" applyBorder="1" applyAlignment="1">
      <alignment horizontal="center"/>
    </xf>
    <xf numFmtId="6" fontId="2" fillId="0" borderId="39" xfId="0" applyNumberFormat="1" applyFont="1" applyBorder="1" applyAlignment="1">
      <alignment horizontal="center"/>
    </xf>
    <xf numFmtId="6" fontId="2" fillId="0" borderId="40" xfId="0" applyNumberFormat="1" applyFont="1" applyBorder="1" applyAlignment="1">
      <alignment horizontal="center"/>
    </xf>
    <xf numFmtId="6" fontId="2" fillId="0" borderId="43" xfId="0" applyNumberFormat="1" applyFont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/>
    </xf>
    <xf numFmtId="6" fontId="2" fillId="0" borderId="57" xfId="0" applyNumberFormat="1" applyFont="1" applyBorder="1" applyAlignment="1">
      <alignment horizontal="center"/>
    </xf>
    <xf numFmtId="6" fontId="2" fillId="0" borderId="36" xfId="0" applyNumberFormat="1" applyFont="1" applyBorder="1" applyAlignment="1">
      <alignment horizontal="center"/>
    </xf>
    <xf numFmtId="6" fontId="2" fillId="0" borderId="12" xfId="0" applyNumberFormat="1" applyFont="1" applyBorder="1" applyAlignment="1">
      <alignment horizontal="center" vertical="center" wrapText="1"/>
    </xf>
    <xf numFmtId="6" fontId="2" fillId="0" borderId="13" xfId="0" applyNumberFormat="1" applyFont="1" applyBorder="1" applyAlignment="1">
      <alignment horizontal="center"/>
    </xf>
    <xf numFmtId="6" fontId="2" fillId="0" borderId="30" xfId="0" applyNumberFormat="1" applyFont="1" applyBorder="1" applyAlignment="1">
      <alignment horizontal="center"/>
    </xf>
    <xf numFmtId="6" fontId="2" fillId="0" borderId="68" xfId="0" applyNumberFormat="1" applyFont="1" applyBorder="1" applyAlignment="1">
      <alignment horizontal="center"/>
    </xf>
    <xf numFmtId="6" fontId="2" fillId="0" borderId="30" xfId="0" applyNumberFormat="1" applyFont="1" applyFill="1" applyBorder="1" applyAlignment="1">
      <alignment horizontal="center"/>
    </xf>
    <xf numFmtId="6" fontId="2" fillId="0" borderId="29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right"/>
    </xf>
    <xf numFmtId="39" fontId="2" fillId="0" borderId="13" xfId="0" applyNumberFormat="1" applyFon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6" fontId="0" fillId="0" borderId="0" xfId="0" applyNumberFormat="1"/>
    <xf numFmtId="2" fontId="0" fillId="0" borderId="0" xfId="0" applyNumberFormat="1"/>
    <xf numFmtId="0" fontId="0" fillId="0" borderId="2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center"/>
    </xf>
    <xf numFmtId="5" fontId="3" fillId="0" borderId="59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2" fillId="0" borderId="0" xfId="0" applyFont="1" applyFill="1" applyAlignment="1"/>
    <xf numFmtId="164" fontId="3" fillId="0" borderId="0" xfId="0" applyNumberFormat="1" applyFont="1" applyFill="1" applyBorder="1" applyAlignment="1"/>
    <xf numFmtId="44" fontId="0" fillId="0" borderId="0" xfId="0" applyNumberFormat="1" applyFont="1" applyFill="1"/>
    <xf numFmtId="164" fontId="2" fillId="0" borderId="43" xfId="0" applyNumberFormat="1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1" fontId="2" fillId="0" borderId="25" xfId="0" applyNumberFormat="1" applyFont="1" applyBorder="1" applyAlignment="1">
      <alignment horizontal="center" wrapText="1"/>
    </xf>
    <xf numFmtId="0" fontId="40" fillId="0" borderId="25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8" fontId="0" fillId="0" borderId="0" xfId="0" applyNumberFormat="1" applyFill="1" applyAlignment="1">
      <alignment vertical="top" wrapText="1"/>
    </xf>
    <xf numFmtId="3" fontId="2" fillId="0" borderId="25" xfId="0" applyNumberFormat="1" applyFont="1" applyBorder="1" applyAlignment="1">
      <alignment horizontal="center" wrapText="1"/>
    </xf>
    <xf numFmtId="6" fontId="2" fillId="0" borderId="12" xfId="0" applyNumberFormat="1" applyFont="1" applyBorder="1" applyAlignment="1">
      <alignment horizontal="center"/>
    </xf>
    <xf numFmtId="0" fontId="0" fillId="0" borderId="25" xfId="0" applyFill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44" fontId="40" fillId="0" borderId="25" xfId="1" applyNumberFormat="1" applyFont="1" applyFill="1" applyBorder="1"/>
    <xf numFmtId="175" fontId="40" fillId="0" borderId="0" xfId="0" applyNumberFormat="1" applyFont="1" applyFill="1" applyBorder="1" applyAlignment="1"/>
    <xf numFmtId="0" fontId="0" fillId="0" borderId="0" xfId="0" applyFont="1" applyFill="1" applyAlignment="1">
      <alignment horizontal="right"/>
    </xf>
    <xf numFmtId="0" fontId="0" fillId="0" borderId="7" xfId="0" applyFill="1" applyBorder="1" applyAlignment="1">
      <alignment horizontal="center"/>
    </xf>
    <xf numFmtId="0" fontId="0" fillId="0" borderId="7" xfId="0" applyFont="1" applyFill="1" applyBorder="1"/>
    <xf numFmtId="0" fontId="38" fillId="0" borderId="44" xfId="0" applyFont="1" applyFill="1" applyBorder="1" applyAlignment="1">
      <alignment horizontal="center"/>
    </xf>
    <xf numFmtId="0" fontId="38" fillId="0" borderId="63" xfId="0" applyFont="1" applyFill="1" applyBorder="1"/>
    <xf numFmtId="0" fontId="38" fillId="0" borderId="44" xfId="0" applyFont="1" applyFill="1" applyBorder="1"/>
    <xf numFmtId="0" fontId="6" fillId="0" borderId="25" xfId="0" applyFont="1" applyFill="1" applyBorder="1"/>
    <xf numFmtId="0" fontId="6" fillId="0" borderId="20" xfId="0" applyFont="1" applyFill="1" applyBorder="1"/>
    <xf numFmtId="40" fontId="2" fillId="0" borderId="12" xfId="0" applyNumberFormat="1" applyFont="1" applyBorder="1" applyAlignment="1">
      <alignment horizontal="center"/>
    </xf>
    <xf numFmtId="40" fontId="2" fillId="0" borderId="12" xfId="0" applyNumberFormat="1" applyFont="1" applyBorder="1"/>
    <xf numFmtId="40" fontId="2" fillId="0" borderId="73" xfId="15" applyNumberFormat="1" applyFont="1" applyBorder="1" applyAlignment="1">
      <alignment horizontal="center"/>
    </xf>
    <xf numFmtId="44" fontId="0" fillId="0" borderId="0" xfId="0" applyNumberFormat="1"/>
    <xf numFmtId="44" fontId="10" fillId="0" borderId="25" xfId="1" applyNumberFormat="1" applyFont="1" applyBorder="1" applyAlignment="1">
      <alignment vertical="center"/>
    </xf>
    <xf numFmtId="164" fontId="2" fillId="0" borderId="0" xfId="0" applyNumberFormat="1" applyFont="1" applyFill="1"/>
    <xf numFmtId="2" fontId="2" fillId="0" borderId="0" xfId="0" applyNumberFormat="1" applyFont="1" applyFill="1"/>
    <xf numFmtId="0" fontId="0" fillId="0" borderId="25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40" fillId="0" borderId="25" xfId="0" applyFont="1" applyFill="1" applyBorder="1" applyAlignment="1">
      <alignment horizontal="left"/>
    </xf>
    <xf numFmtId="166" fontId="10" fillId="0" borderId="25" xfId="1" applyNumberFormat="1" applyFont="1" applyBorder="1" applyAlignment="1">
      <alignment vertical="center"/>
    </xf>
    <xf numFmtId="0" fontId="30" fillId="0" borderId="0" xfId="0" applyFont="1" applyAlignment="1">
      <alignment horizontal="right"/>
    </xf>
    <xf numFmtId="0" fontId="2" fillId="0" borderId="3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6" fontId="2" fillId="0" borderId="4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0" fontId="0" fillId="0" borderId="25" xfId="0" applyNumberFormat="1" applyBorder="1" applyAlignment="1">
      <alignment horizontal="center" wrapText="1"/>
    </xf>
    <xf numFmtId="1" fontId="0" fillId="0" borderId="25" xfId="0" applyNumberForma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40" fillId="0" borderId="25" xfId="0" applyFont="1" applyFill="1" applyBorder="1" applyAlignment="1">
      <alignment horizontal="left"/>
    </xf>
    <xf numFmtId="0" fontId="2" fillId="0" borderId="20" xfId="0" applyFont="1" applyFill="1" applyBorder="1" applyAlignment="1"/>
    <xf numFmtId="6" fontId="2" fillId="0" borderId="12" xfId="0" applyNumberFormat="1" applyFont="1" applyFill="1" applyBorder="1" applyAlignment="1">
      <alignment horizontal="center"/>
    </xf>
    <xf numFmtId="38" fontId="2" fillId="0" borderId="31" xfId="0" applyNumberFormat="1" applyFont="1" applyFill="1" applyBorder="1" applyAlignment="1">
      <alignment horizontal="center"/>
    </xf>
    <xf numFmtId="38" fontId="2" fillId="0" borderId="36" xfId="0" applyNumberFormat="1" applyFont="1" applyFill="1" applyBorder="1" applyAlignment="1">
      <alignment horizontal="center"/>
    </xf>
    <xf numFmtId="38" fontId="2" fillId="0" borderId="47" xfId="0" applyNumberFormat="1" applyFont="1" applyFill="1" applyBorder="1" applyAlignment="1">
      <alignment horizontal="center"/>
    </xf>
    <xf numFmtId="38" fontId="2" fillId="0" borderId="25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center"/>
    </xf>
    <xf numFmtId="176" fontId="2" fillId="0" borderId="6" xfId="0" applyNumberFormat="1" applyFont="1" applyFill="1" applyBorder="1" applyAlignment="1">
      <alignment horizontal="center"/>
    </xf>
    <xf numFmtId="176" fontId="2" fillId="0" borderId="19" xfId="0" applyNumberFormat="1" applyFont="1" applyFill="1" applyBorder="1" applyAlignment="1">
      <alignment horizontal="center"/>
    </xf>
    <xf numFmtId="176" fontId="2" fillId="0" borderId="20" xfId="0" applyNumberFormat="1" applyFont="1" applyFill="1" applyBorder="1" applyAlignment="1">
      <alignment horizontal="center"/>
    </xf>
    <xf numFmtId="6" fontId="2" fillId="0" borderId="36" xfId="0" applyNumberFormat="1" applyFont="1" applyFill="1" applyBorder="1" applyAlignment="1">
      <alignment horizontal="center"/>
    </xf>
    <xf numFmtId="6" fontId="2" fillId="0" borderId="25" xfId="0" applyNumberFormat="1" applyFont="1" applyFill="1" applyBorder="1" applyAlignment="1">
      <alignment horizontal="center"/>
    </xf>
    <xf numFmtId="6" fontId="2" fillId="0" borderId="20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3" fontId="2" fillId="0" borderId="25" xfId="15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40" fontId="3" fillId="0" borderId="0" xfId="0" applyNumberFormat="1" applyFont="1" applyBorder="1" applyAlignment="1">
      <alignment horizontal="center"/>
    </xf>
    <xf numFmtId="8" fontId="0" fillId="0" borderId="0" xfId="0" applyNumberFormat="1" applyFill="1"/>
    <xf numFmtId="172" fontId="5" fillId="0" borderId="83" xfId="0" applyNumberFormat="1" applyFont="1" applyBorder="1"/>
    <xf numFmtId="172" fontId="5" fillId="0" borderId="84" xfId="0" applyNumberFormat="1" applyFont="1" applyBorder="1"/>
    <xf numFmtId="0" fontId="5" fillId="0" borderId="0" xfId="0" applyFont="1" applyAlignment="1">
      <alignment horizontal="right"/>
    </xf>
    <xf numFmtId="6" fontId="5" fillId="0" borderId="59" xfId="0" applyNumberFormat="1" applyFont="1" applyFill="1" applyBorder="1" applyAlignment="1">
      <alignment horizontal="center"/>
    </xf>
    <xf numFmtId="8" fontId="5" fillId="0" borderId="13" xfId="0" applyNumberFormat="1" applyFont="1" applyFill="1" applyBorder="1"/>
    <xf numFmtId="0" fontId="0" fillId="0" borderId="0" xfId="0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0" fillId="0" borderId="0" xfId="0" applyAlignment="1">
      <alignment horizontal="left"/>
    </xf>
    <xf numFmtId="0" fontId="2" fillId="0" borderId="43" xfId="0" applyFont="1" applyBorder="1" applyAlignment="1">
      <alignment horizontal="center"/>
    </xf>
    <xf numFmtId="8" fontId="0" fillId="0" borderId="0" xfId="0" applyNumberFormat="1"/>
    <xf numFmtId="0" fontId="2" fillId="0" borderId="46" xfId="0" applyFont="1" applyBorder="1" applyAlignment="1">
      <alignment horizontal="center"/>
    </xf>
    <xf numFmtId="6" fontId="2" fillId="0" borderId="6" xfId="0" applyNumberFormat="1" applyFont="1" applyBorder="1" applyAlignment="1">
      <alignment horizontal="center"/>
    </xf>
    <xf numFmtId="6" fontId="2" fillId="0" borderId="57" xfId="0" applyNumberFormat="1" applyFont="1" applyBorder="1" applyAlignment="1">
      <alignment horizontal="center"/>
    </xf>
    <xf numFmtId="6" fontId="0" fillId="0" borderId="0" xfId="0" applyNumberFormat="1"/>
    <xf numFmtId="0" fontId="0" fillId="0" borderId="9" xfId="0" applyBorder="1"/>
    <xf numFmtId="0" fontId="2" fillId="0" borderId="73" xfId="0" applyFont="1" applyBorder="1" applyAlignment="1">
      <alignment horizontal="center"/>
    </xf>
    <xf numFmtId="0" fontId="0" fillId="0" borderId="65" xfId="0" applyBorder="1" applyAlignment="1">
      <alignment horizontal="center" vertical="center" wrapText="1"/>
    </xf>
    <xf numFmtId="8" fontId="2" fillId="0" borderId="11" xfId="0" applyNumberFormat="1" applyFont="1" applyBorder="1" applyAlignment="1">
      <alignment horizontal="center"/>
    </xf>
    <xf numFmtId="8" fontId="2" fillId="0" borderId="12" xfId="0" applyNumberFormat="1" applyFont="1" applyBorder="1" applyAlignment="1">
      <alignment horizontal="center"/>
    </xf>
    <xf numFmtId="37" fontId="2" fillId="0" borderId="11" xfId="0" applyNumberFormat="1" applyFont="1" applyBorder="1" applyAlignment="1">
      <alignment horizontal="center"/>
    </xf>
    <xf numFmtId="37" fontId="2" fillId="0" borderId="12" xfId="0" applyNumberFormat="1" applyFont="1" applyBorder="1" applyAlignment="1">
      <alignment horizontal="center"/>
    </xf>
    <xf numFmtId="37" fontId="2" fillId="0" borderId="11" xfId="15" applyNumberFormat="1" applyFont="1" applyBorder="1" applyAlignment="1">
      <alignment horizontal="center"/>
    </xf>
    <xf numFmtId="37" fontId="2" fillId="0" borderId="73" xfId="15" applyNumberFormat="1" applyFont="1" applyBorder="1" applyAlignment="1">
      <alignment horizontal="center"/>
    </xf>
    <xf numFmtId="8" fontId="2" fillId="0" borderId="12" xfId="0" applyNumberFormat="1" applyFont="1" applyBorder="1"/>
    <xf numFmtId="8" fontId="0" fillId="0" borderId="5" xfId="0" applyNumberFormat="1" applyBorder="1" applyAlignment="1"/>
    <xf numFmtId="8" fontId="2" fillId="0" borderId="6" xfId="0" applyNumberFormat="1" applyFont="1" applyBorder="1" applyAlignment="1"/>
    <xf numFmtId="0" fontId="0" fillId="0" borderId="80" xfId="0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/>
    </xf>
    <xf numFmtId="8" fontId="2" fillId="0" borderId="6" xfId="0" applyNumberFormat="1" applyFon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6" fontId="0" fillId="0" borderId="9" xfId="0" applyNumberFormat="1" applyBorder="1" applyAlignment="1">
      <alignment horizontal="center"/>
    </xf>
    <xf numFmtId="6" fontId="2" fillId="0" borderId="12" xfId="0" applyNumberFormat="1" applyFont="1" applyBorder="1" applyAlignment="1">
      <alignment horizontal="center"/>
    </xf>
    <xf numFmtId="6" fontId="2" fillId="0" borderId="82" xfId="0" applyNumberFormat="1" applyFont="1" applyBorder="1" applyAlignment="1">
      <alignment horizontal="center"/>
    </xf>
    <xf numFmtId="6" fontId="5" fillId="0" borderId="27" xfId="0" applyNumberFormat="1" applyFont="1" applyBorder="1"/>
    <xf numFmtId="8" fontId="5" fillId="0" borderId="81" xfId="0" applyNumberFormat="1" applyFont="1" applyBorder="1"/>
    <xf numFmtId="8" fontId="2" fillId="0" borderId="57" xfId="0" applyNumberFormat="1" applyFont="1" applyBorder="1" applyAlignment="1"/>
    <xf numFmtId="8" fontId="2" fillId="0" borderId="82" xfId="0" applyNumberFormat="1" applyFont="1" applyBorder="1"/>
    <xf numFmtId="6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72" fontId="0" fillId="0" borderId="0" xfId="0" applyNumberFormat="1"/>
    <xf numFmtId="0" fontId="0" fillId="0" borderId="61" xfId="0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6" fontId="0" fillId="0" borderId="11" xfId="0" applyNumberFormat="1" applyBorder="1"/>
    <xf numFmtId="8" fontId="0" fillId="0" borderId="11" xfId="0" applyNumberFormat="1" applyBorder="1"/>
    <xf numFmtId="6" fontId="0" fillId="0" borderId="12" xfId="0" applyNumberFormat="1" applyBorder="1"/>
    <xf numFmtId="8" fontId="0" fillId="0" borderId="12" xfId="0" applyNumberFormat="1" applyBorder="1"/>
    <xf numFmtId="6" fontId="0" fillId="0" borderId="13" xfId="0" applyNumberFormat="1" applyBorder="1"/>
    <xf numFmtId="8" fontId="0" fillId="0" borderId="13" xfId="0" applyNumberFormat="1" applyBorder="1"/>
    <xf numFmtId="8" fontId="5" fillId="0" borderId="22" xfId="0" applyNumberFormat="1" applyFont="1" applyBorder="1"/>
    <xf numFmtId="6" fontId="0" fillId="0" borderId="85" xfId="0" applyNumberFormat="1" applyBorder="1"/>
    <xf numFmtId="8" fontId="5" fillId="0" borderId="67" xfId="0" applyNumberFormat="1" applyFont="1" applyBorder="1"/>
    <xf numFmtId="8" fontId="0" fillId="0" borderId="27" xfId="0" applyNumberFormat="1" applyBorder="1"/>
    <xf numFmtId="8" fontId="5" fillId="0" borderId="9" xfId="0" applyNumberFormat="1" applyFont="1" applyBorder="1"/>
    <xf numFmtId="8" fontId="0" fillId="0" borderId="59" xfId="0" applyNumberFormat="1" applyBorder="1"/>
    <xf numFmtId="0" fontId="2" fillId="0" borderId="24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4" fillId="0" borderId="0" xfId="0" applyFont="1" applyAlignment="1">
      <alignment horizontal="center"/>
    </xf>
    <xf numFmtId="164" fontId="11" fillId="0" borderId="59" xfId="0" applyNumberFormat="1" applyFont="1" applyBorder="1" applyAlignment="1">
      <alignment horizontal="center" vertical="center"/>
    </xf>
    <xf numFmtId="5" fontId="11" fillId="0" borderId="59" xfId="0" applyNumberFormat="1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9" fontId="5" fillId="5" borderId="37" xfId="0" applyNumberFormat="1" applyFont="1" applyFill="1" applyBorder="1" applyAlignment="1">
      <alignment horizontal="center"/>
    </xf>
    <xf numFmtId="9" fontId="5" fillId="5" borderId="27" xfId="0" applyNumberFormat="1" applyFont="1" applyFill="1" applyBorder="1" applyAlignment="1">
      <alignment horizontal="center"/>
    </xf>
    <xf numFmtId="5" fontId="30" fillId="0" borderId="31" xfId="0" applyNumberFormat="1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164" fontId="30" fillId="0" borderId="74" xfId="0" applyNumberFormat="1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2" fontId="11" fillId="0" borderId="76" xfId="0" applyNumberFormat="1" applyFont="1" applyFill="1" applyBorder="1" applyAlignment="1">
      <alignment horizontal="center"/>
    </xf>
    <xf numFmtId="2" fontId="11" fillId="0" borderId="77" xfId="0" applyNumberFormat="1" applyFont="1" applyFill="1" applyBorder="1" applyAlignment="1">
      <alignment horizont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164" fontId="30" fillId="0" borderId="5" xfId="0" applyNumberFormat="1" applyFont="1" applyBorder="1" applyAlignment="1">
      <alignment horizontal="center"/>
    </xf>
    <xf numFmtId="164" fontId="30" fillId="0" borderId="45" xfId="0" applyNumberFormat="1" applyFont="1" applyBorder="1" applyAlignment="1">
      <alignment horizontal="center"/>
    </xf>
    <xf numFmtId="164" fontId="30" fillId="0" borderId="75" xfId="0" applyNumberFormat="1" applyFont="1" applyBorder="1" applyAlignment="1">
      <alignment horizontal="center"/>
    </xf>
    <xf numFmtId="164" fontId="30" fillId="0" borderId="78" xfId="0" applyNumberFormat="1" applyFont="1" applyBorder="1" applyAlignment="1">
      <alignment horizontal="center"/>
    </xf>
    <xf numFmtId="2" fontId="11" fillId="0" borderId="79" xfId="0" applyNumberFormat="1" applyFont="1" applyFill="1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4" fontId="31" fillId="0" borderId="37" xfId="0" applyNumberFormat="1" applyFont="1" applyBorder="1" applyAlignment="1">
      <alignment horizontal="center" vertical="center"/>
    </xf>
    <xf numFmtId="164" fontId="31" fillId="0" borderId="38" xfId="0" applyNumberFormat="1" applyFont="1" applyBorder="1" applyAlignment="1">
      <alignment horizontal="center" vertical="center"/>
    </xf>
    <xf numFmtId="164" fontId="31" fillId="0" borderId="2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164" fontId="5" fillId="0" borderId="59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horizontal="left"/>
    </xf>
    <xf numFmtId="0" fontId="22" fillId="0" borderId="24" xfId="0" applyFont="1" applyFill="1" applyBorder="1" applyAlignment="1">
      <alignment horizontal="left"/>
    </xf>
    <xf numFmtId="0" fontId="22" fillId="0" borderId="21" xfId="0" applyFont="1" applyFill="1" applyBorder="1" applyAlignment="1">
      <alignment horizontal="left" wrapText="1"/>
    </xf>
    <xf numFmtId="0" fontId="22" fillId="0" borderId="24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/>
    </xf>
    <xf numFmtId="49" fontId="22" fillId="0" borderId="21" xfId="0" applyNumberFormat="1" applyFont="1" applyFill="1" applyBorder="1" applyAlignment="1">
      <alignment horizontal="center" wrapText="1"/>
    </xf>
    <xf numFmtId="49" fontId="22" fillId="0" borderId="24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vertical="top" wrapText="1"/>
    </xf>
    <xf numFmtId="0" fontId="3" fillId="0" borderId="37" xfId="0" applyFont="1" applyFill="1" applyBorder="1" applyAlignment="1">
      <alignment horizontal="right"/>
    </xf>
    <xf numFmtId="0" fontId="3" fillId="0" borderId="38" xfId="0" applyFont="1" applyFill="1" applyBorder="1" applyAlignment="1">
      <alignment horizontal="right"/>
    </xf>
    <xf numFmtId="0" fontId="3" fillId="0" borderId="27" xfId="0" applyFont="1" applyFill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wrapText="1"/>
    </xf>
    <xf numFmtId="0" fontId="40" fillId="0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174" fontId="0" fillId="0" borderId="25" xfId="0" applyNumberFormat="1" applyBorder="1" applyAlignment="1">
      <alignment horizontal="left" wrapText="1"/>
    </xf>
    <xf numFmtId="2" fontId="0" fillId="0" borderId="2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3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6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right"/>
    </xf>
    <xf numFmtId="0" fontId="3" fillId="0" borderId="41" xfId="0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0" fillId="0" borderId="44" xfId="0" applyFill="1" applyBorder="1" applyAlignment="1">
      <alignment horizontal="center" vertical="top" wrapText="1"/>
    </xf>
    <xf numFmtId="0" fontId="0" fillId="0" borderId="26" xfId="0" applyFill="1" applyBorder="1" applyAlignment="1">
      <alignment horizontal="center" vertical="top" wrapText="1"/>
    </xf>
    <xf numFmtId="0" fontId="0" fillId="0" borderId="63" xfId="0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0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168" fontId="2" fillId="0" borderId="0" xfId="15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1" xfId="0" applyFont="1" applyFill="1" applyBorder="1" applyAlignment="1">
      <alignment horizontal="center" wrapText="1"/>
    </xf>
    <xf numFmtId="0" fontId="2" fillId="0" borderId="60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44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center" wrapText="1"/>
    </xf>
    <xf numFmtId="168" fontId="2" fillId="0" borderId="25" xfId="15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59" xfId="0" applyFont="1" applyBorder="1" applyAlignment="1">
      <alignment horizontal="right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0" fillId="0" borderId="25" xfId="0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right" vertical="center" wrapText="1"/>
    </xf>
    <xf numFmtId="166" fontId="40" fillId="0" borderId="20" xfId="1" applyNumberFormat="1" applyFont="1" applyFill="1" applyBorder="1" applyAlignment="1">
      <alignment horizontal="center"/>
    </xf>
    <xf numFmtId="166" fontId="40" fillId="0" borderId="41" xfId="1" applyNumberFormat="1" applyFont="1" applyFill="1" applyBorder="1" applyAlignment="1">
      <alignment horizontal="center"/>
    </xf>
    <xf numFmtId="0" fontId="40" fillId="0" borderId="20" xfId="0" applyFont="1" applyFill="1" applyBorder="1" applyAlignment="1">
      <alignment horizontal="left"/>
    </xf>
    <xf numFmtId="0" fontId="40" fillId="0" borderId="41" xfId="0" applyFont="1" applyFill="1" applyBorder="1" applyAlignment="1">
      <alignment horizontal="left"/>
    </xf>
    <xf numFmtId="0" fontId="41" fillId="0" borderId="20" xfId="0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left"/>
    </xf>
    <xf numFmtId="0" fontId="41" fillId="0" borderId="41" xfId="0" applyFont="1" applyFill="1" applyBorder="1" applyAlignment="1">
      <alignment horizontal="left"/>
    </xf>
    <xf numFmtId="0" fontId="40" fillId="0" borderId="25" xfId="0" applyFont="1" applyBorder="1" applyAlignment="1">
      <alignment horizontal="left"/>
    </xf>
    <xf numFmtId="0" fontId="40" fillId="0" borderId="25" xfId="0" applyFont="1" applyBorder="1"/>
    <xf numFmtId="3" fontId="40" fillId="0" borderId="25" xfId="15" applyNumberFormat="1" applyFont="1" applyBorder="1" applyAlignment="1">
      <alignment horizontal="right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0" fillId="0" borderId="54" xfId="0" applyFont="1" applyBorder="1" applyAlignment="1">
      <alignment horizontal="left"/>
    </xf>
    <xf numFmtId="0" fontId="40" fillId="0" borderId="55" xfId="0" applyFont="1" applyBorder="1" applyAlignment="1">
      <alignment horizontal="left"/>
    </xf>
    <xf numFmtId="0" fontId="40" fillId="0" borderId="25" xfId="0" applyFont="1" applyBorder="1" applyAlignment="1"/>
    <xf numFmtId="0" fontId="40" fillId="0" borderId="25" xfId="0" applyFont="1" applyFill="1" applyBorder="1"/>
    <xf numFmtId="0" fontId="43" fillId="0" borderId="25" xfId="0" applyFont="1" applyBorder="1" applyAlignment="1">
      <alignment horizontal="left"/>
    </xf>
    <xf numFmtId="0" fontId="43" fillId="0" borderId="20" xfId="0" applyFont="1" applyBorder="1" applyAlignment="1">
      <alignment horizontal="right"/>
    </xf>
    <xf numFmtId="0" fontId="43" fillId="0" borderId="41" xfId="0" applyFont="1" applyBorder="1" applyAlignment="1">
      <alignment horizontal="right"/>
    </xf>
    <xf numFmtId="0" fontId="40" fillId="0" borderId="20" xfId="0" applyFont="1" applyBorder="1" applyAlignment="1">
      <alignment horizontal="left"/>
    </xf>
    <xf numFmtId="0" fontId="40" fillId="0" borderId="7" xfId="0" applyFont="1" applyBorder="1" applyAlignment="1">
      <alignment horizontal="left"/>
    </xf>
    <xf numFmtId="0" fontId="40" fillId="0" borderId="41" xfId="0" applyFont="1" applyBorder="1" applyAlignment="1">
      <alignment horizontal="left"/>
    </xf>
    <xf numFmtId="0" fontId="40" fillId="0" borderId="20" xfId="0" applyFont="1" applyBorder="1"/>
    <xf numFmtId="0" fontId="40" fillId="0" borderId="41" xfId="0" applyFont="1" applyBorder="1"/>
    <xf numFmtId="0" fontId="40" fillId="0" borderId="50" xfId="0" applyFont="1" applyFill="1" applyBorder="1"/>
    <xf numFmtId="0" fontId="40" fillId="0" borderId="53" xfId="0" applyFont="1" applyFill="1" applyBorder="1"/>
    <xf numFmtId="0" fontId="3" fillId="0" borderId="0" xfId="0" applyFont="1" applyBorder="1" applyAlignment="1">
      <alignment horizontal="right"/>
    </xf>
    <xf numFmtId="0" fontId="40" fillId="0" borderId="7" xfId="0" applyFont="1" applyFill="1" applyBorder="1" applyAlignment="1">
      <alignment horizontal="left"/>
    </xf>
    <xf numFmtId="0" fontId="40" fillId="0" borderId="20" xfId="0" applyFont="1" applyFill="1" applyBorder="1" applyAlignment="1"/>
    <xf numFmtId="0" fontId="40" fillId="0" borderId="41" xfId="0" applyFont="1" applyFill="1" applyBorder="1" applyAlignment="1"/>
    <xf numFmtId="0" fontId="40" fillId="0" borderId="0" xfId="0" applyFont="1"/>
    <xf numFmtId="0" fontId="22" fillId="0" borderId="25" xfId="0" applyFont="1" applyBorder="1" applyAlignment="1">
      <alignment horizontal="center" wrapText="1"/>
    </xf>
    <xf numFmtId="44" fontId="10" fillId="0" borderId="25" xfId="1" applyNumberFormat="1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4" fontId="5" fillId="0" borderId="25" xfId="0" applyNumberFormat="1" applyFont="1" applyBorder="1" applyAlignment="1">
      <alignment horizontal="center"/>
    </xf>
    <xf numFmtId="166" fontId="5" fillId="0" borderId="25" xfId="0" applyNumberFormat="1" applyFont="1" applyBorder="1" applyAlignment="1">
      <alignment horizontal="center"/>
    </xf>
    <xf numFmtId="166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17" fillId="0" borderId="0" xfId="2" applyFont="1" applyAlignment="1">
      <alignment horizontal="left"/>
    </xf>
    <xf numFmtId="0" fontId="21" fillId="0" borderId="0" xfId="17" applyFont="1" applyFill="1" applyAlignment="1">
      <alignment horizontal="left" vertical="top" wrapText="1"/>
    </xf>
    <xf numFmtId="0" fontId="18" fillId="0" borderId="0" xfId="17"/>
    <xf numFmtId="0" fontId="21" fillId="0" borderId="0" xfId="17" applyFont="1" applyFill="1" applyAlignment="1">
      <alignment horizontal="left"/>
    </xf>
    <xf numFmtId="0" fontId="19" fillId="0" borderId="0" xfId="17" applyFont="1" applyFill="1" applyAlignment="1">
      <alignment horizontal="left"/>
    </xf>
    <xf numFmtId="0" fontId="20" fillId="0" borderId="0" xfId="17" applyFont="1" applyFill="1" applyAlignment="1">
      <alignment horizontal="left" vertical="top" wrapText="1"/>
    </xf>
    <xf numFmtId="0" fontId="38" fillId="4" borderId="20" xfId="0" applyFont="1" applyFill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 wrapText="1"/>
    </xf>
    <xf numFmtId="0" fontId="38" fillId="4" borderId="4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/>
    </xf>
    <xf numFmtId="0" fontId="38" fillId="4" borderId="25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38" fillId="0" borderId="44" xfId="0" applyFont="1" applyFill="1" applyBorder="1" applyAlignment="1">
      <alignment horizontal="center" vertical="center"/>
    </xf>
    <xf numFmtId="0" fontId="38" fillId="4" borderId="20" xfId="0" applyFont="1" applyFill="1" applyBorder="1" applyAlignment="1">
      <alignment horizontal="center" wrapText="1"/>
    </xf>
    <xf numFmtId="0" fontId="38" fillId="4" borderId="7" xfId="0" applyFont="1" applyFill="1" applyBorder="1" applyAlignment="1">
      <alignment horizontal="center" wrapText="1"/>
    </xf>
    <xf numFmtId="0" fontId="38" fillId="4" borderId="41" xfId="0" applyFont="1" applyFill="1" applyBorder="1" applyAlignment="1">
      <alignment horizontal="center" wrapText="1"/>
    </xf>
    <xf numFmtId="0" fontId="38" fillId="4" borderId="61" xfId="0" applyFont="1" applyFill="1" applyBorder="1" applyAlignment="1">
      <alignment horizontal="center" vertical="center" wrapText="1"/>
    </xf>
    <xf numFmtId="0" fontId="38" fillId="4" borderId="42" xfId="0" applyFont="1" applyFill="1" applyBorder="1" applyAlignment="1">
      <alignment horizontal="center" vertical="center" wrapText="1"/>
    </xf>
    <xf numFmtId="0" fontId="38" fillId="4" borderId="60" xfId="0" applyFont="1" applyFill="1" applyBorder="1" applyAlignment="1">
      <alignment horizontal="center" vertical="center" wrapText="1"/>
    </xf>
    <xf numFmtId="0" fontId="38" fillId="4" borderId="62" xfId="0" applyFont="1" applyFill="1" applyBorder="1" applyAlignment="1">
      <alignment horizontal="center" vertical="center" wrapText="1"/>
    </xf>
    <xf numFmtId="0" fontId="38" fillId="4" borderId="26" xfId="0" applyFont="1" applyFill="1" applyBorder="1" applyAlignment="1">
      <alignment horizontal="center" vertical="center" wrapText="1"/>
    </xf>
    <xf numFmtId="0" fontId="38" fillId="4" borderId="63" xfId="0" applyFont="1" applyFill="1" applyBorder="1" applyAlignment="1">
      <alignment horizontal="center" vertical="center" wrapText="1"/>
    </xf>
    <xf numFmtId="0" fontId="38" fillId="4" borderId="0" xfId="0" applyFont="1" applyFill="1" applyAlignment="1">
      <alignment horizontal="right"/>
    </xf>
    <xf numFmtId="0" fontId="0" fillId="0" borderId="0" xfId="0" applyBorder="1" applyAlignment="1">
      <alignment horizontal="left"/>
    </xf>
    <xf numFmtId="164" fontId="2" fillId="0" borderId="13" xfId="0" applyNumberFormat="1" applyFont="1" applyFill="1" applyBorder="1" applyAlignment="1">
      <alignment horizontal="center" vertical="center"/>
    </xf>
  </cellXfs>
  <cellStyles count="18">
    <cellStyle name="Comma" xfId="15" builtinId="3"/>
    <cellStyle name="Comma 2" xfId="7"/>
    <cellStyle name="Comma0" xfId="8"/>
    <cellStyle name="Currency" xfId="1" builtinId="4"/>
    <cellStyle name="Currency0" xfId="9"/>
    <cellStyle name="Date" xfId="10"/>
    <cellStyle name="Fixed" xfId="11"/>
    <cellStyle name="Normal" xfId="0" builtinId="0"/>
    <cellStyle name="Normal 16" xfId="2"/>
    <cellStyle name="Normal 17" xfId="4"/>
    <cellStyle name="Normal 18" xfId="3"/>
    <cellStyle name="Normal 19" xfId="5"/>
    <cellStyle name="Normal 2" xfId="6"/>
    <cellStyle name="Normal 3" xfId="12"/>
    <cellStyle name="Normal 4" xfId="13"/>
    <cellStyle name="Normal 5" xfId="17"/>
    <cellStyle name="Percent" xfId="16" builtinId="5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yoming%20TIGER\CBA%20Working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Matrix"/>
      <sheetName val="START Summary"/>
      <sheetName val="START Narrative"/>
      <sheetName val="START Distance Benefit"/>
      <sheetName val="START Costs"/>
      <sheetName val="START VMT Table"/>
      <sheetName val="START Assumptions"/>
      <sheetName val="START Inside Storage Benefit"/>
      <sheetName val="START Mobility Benefit"/>
      <sheetName val="START Safety Benefit"/>
      <sheetName val="START Cost of Extra Idling"/>
      <sheetName val="START Road Cost Benefit"/>
      <sheetName val="START Parking Benefit"/>
      <sheetName val="START Remaining Capital Value"/>
      <sheetName val="START Global Benefit"/>
      <sheetName val="START Energy Cost"/>
      <sheetName val="START CNG Benefits"/>
      <sheetName val="START Value of CO2 rdctn"/>
    </sheetNames>
    <sheetDataSet>
      <sheetData sheetId="0"/>
      <sheetData sheetId="1"/>
      <sheetData sheetId="2"/>
      <sheetData sheetId="3"/>
      <sheetData sheetId="4">
        <row r="5">
          <cell r="I5">
            <v>35873401.852506503</v>
          </cell>
          <cell r="L5">
            <v>-11950617.593879221</v>
          </cell>
        </row>
      </sheetData>
      <sheetData sheetId="5"/>
      <sheetData sheetId="6">
        <row r="31">
          <cell r="B31">
            <v>2013</v>
          </cell>
        </row>
        <row r="32">
          <cell r="B32">
            <v>2015</v>
          </cell>
        </row>
        <row r="33">
          <cell r="B33">
            <v>50</v>
          </cell>
        </row>
        <row r="35">
          <cell r="B35">
            <v>7.0000000000000007E-2</v>
          </cell>
        </row>
        <row r="37">
          <cell r="B37">
            <v>0.26</v>
          </cell>
        </row>
        <row r="39">
          <cell r="B39">
            <v>0.02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I8">
            <v>101752.39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  <pageSetUpPr fitToPage="1"/>
  </sheetPr>
  <dimension ref="A1:P64"/>
  <sheetViews>
    <sheetView view="pageBreakPreview" zoomScale="85" zoomScaleNormal="100" zoomScaleSheetLayoutView="85" workbookViewId="0">
      <selection activeCell="B38" sqref="B38"/>
    </sheetView>
  </sheetViews>
  <sheetFormatPr defaultRowHeight="15"/>
  <cols>
    <col min="2" max="2" width="10.7109375" customWidth="1"/>
    <col min="3" max="3" width="14.140625" bestFit="1" customWidth="1"/>
    <col min="4" max="4" width="12.42578125" customWidth="1"/>
    <col min="5" max="5" width="12.7109375" customWidth="1"/>
    <col min="6" max="6" width="12.7109375" style="60" customWidth="1"/>
    <col min="7" max="7" width="12.7109375" customWidth="1"/>
    <col min="8" max="8" width="14.7109375" customWidth="1"/>
    <col min="9" max="9" width="17.28515625" customWidth="1"/>
    <col min="10" max="10" width="11.5703125" customWidth="1"/>
    <col min="11" max="11" width="16.85546875" customWidth="1"/>
    <col min="12" max="12" width="14.5703125" customWidth="1"/>
    <col min="13" max="13" width="22.5703125" customWidth="1"/>
    <col min="14" max="14" width="5.42578125" customWidth="1"/>
    <col min="15" max="16" width="13.85546875" customWidth="1"/>
    <col min="17" max="17" width="15.7109375" customWidth="1"/>
    <col min="18" max="18" width="32" customWidth="1"/>
    <col min="19" max="19" width="15.7109375" customWidth="1"/>
  </cols>
  <sheetData>
    <row r="1" spans="1:16" ht="23.25">
      <c r="A1" s="509" t="s">
        <v>360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</row>
    <row r="2" spans="1:16" s="142" customFormat="1" ht="23.25">
      <c r="A2" s="17"/>
      <c r="B2" s="35"/>
      <c r="C2" s="35"/>
      <c r="D2" s="35"/>
    </row>
    <row r="3" spans="1:16" s="142" customFormat="1" ht="15" customHeight="1">
      <c r="A3"/>
      <c r="B3"/>
      <c r="C3" s="135"/>
      <c r="D3" s="136"/>
      <c r="E3"/>
      <c r="F3"/>
      <c r="G3"/>
      <c r="H3"/>
    </row>
    <row r="4" spans="1:16" s="142" customFormat="1" ht="15" customHeight="1" thickBot="1">
      <c r="A4" s="290" t="s">
        <v>231</v>
      </c>
      <c r="B4" s="290"/>
      <c r="C4" s="290"/>
      <c r="D4" s="290"/>
      <c r="E4" s="290"/>
      <c r="F4" s="290"/>
    </row>
    <row r="5" spans="1:16" s="142" customFormat="1" ht="15" customHeight="1" thickBot="1">
      <c r="A5" s="38"/>
      <c r="B5" s="486" t="s">
        <v>348</v>
      </c>
      <c r="C5" s="487"/>
      <c r="D5" s="486">
        <v>7.0000000000000007E-2</v>
      </c>
      <c r="E5" s="487"/>
      <c r="L5" s="145"/>
      <c r="M5" s="145"/>
    </row>
    <row r="6" spans="1:16" s="142" customFormat="1" ht="15" customHeight="1">
      <c r="A6" s="301" t="s">
        <v>8</v>
      </c>
      <c r="B6" s="488">
        <f>L36</f>
        <v>477768955.22542256</v>
      </c>
      <c r="C6" s="489"/>
      <c r="D6" s="497">
        <f>M36</f>
        <v>161820223.6180231</v>
      </c>
      <c r="E6" s="498"/>
      <c r="M6" s="145"/>
    </row>
    <row r="7" spans="1:16" ht="16.5" thickBot="1">
      <c r="A7" s="302" t="s">
        <v>9</v>
      </c>
      <c r="B7" s="490">
        <f>C34</f>
        <v>29123704.596655998</v>
      </c>
      <c r="C7" s="491"/>
      <c r="D7" s="499">
        <f>D34</f>
        <v>21672046.768546153</v>
      </c>
      <c r="E7" s="500"/>
      <c r="F7"/>
    </row>
    <row r="8" spans="1:16" s="142" customFormat="1" ht="17.25" thickTop="1" thickBot="1">
      <c r="A8" s="303" t="s">
        <v>10</v>
      </c>
      <c r="B8" s="492">
        <f>+B6/B7</f>
        <v>16.404813942532581</v>
      </c>
      <c r="C8" s="493"/>
      <c r="D8" s="492">
        <f>+D6/D7</f>
        <v>7.4667716135091489</v>
      </c>
      <c r="E8" s="501"/>
    </row>
    <row r="9" spans="1:16" s="142" customFormat="1" ht="15.75" thickBot="1">
      <c r="A9" s="159"/>
      <c r="B9" s="44"/>
      <c r="C9" s="27"/>
      <c r="D9" s="159"/>
      <c r="E9" s="159"/>
      <c r="F9" s="159"/>
      <c r="G9" s="159"/>
    </row>
    <row r="10" spans="1:16" s="73" customFormat="1" ht="36.75" customHeight="1" thickBot="1">
      <c r="A10" s="494" t="s">
        <v>256</v>
      </c>
      <c r="B10" s="495"/>
      <c r="C10" s="495"/>
      <c r="D10" s="496"/>
      <c r="E10" s="12"/>
      <c r="F10" s="471" t="s">
        <v>257</v>
      </c>
      <c r="G10" s="471"/>
      <c r="H10" s="471"/>
      <c r="I10" s="471"/>
      <c r="J10" s="471"/>
      <c r="K10" s="471"/>
      <c r="L10" s="471"/>
      <c r="M10" s="471"/>
      <c r="N10"/>
      <c r="O10"/>
    </row>
    <row r="11" spans="1:16" ht="28.5" customHeight="1" thickBot="1">
      <c r="A11" s="475" t="s">
        <v>0</v>
      </c>
      <c r="B11" s="507"/>
      <c r="C11" s="475" t="s">
        <v>4</v>
      </c>
      <c r="D11" s="505" t="s">
        <v>1</v>
      </c>
      <c r="F11" s="73"/>
      <c r="G11" s="502" t="s">
        <v>255</v>
      </c>
      <c r="H11" s="503"/>
      <c r="I11" s="503"/>
      <c r="J11" s="503"/>
      <c r="K11" s="504"/>
      <c r="L11" s="73"/>
      <c r="M11" s="73"/>
      <c r="N11" s="73"/>
      <c r="O11" s="73"/>
    </row>
    <row r="12" spans="1:16" ht="35.1" customHeight="1" thickBot="1">
      <c r="A12" s="476"/>
      <c r="B12" s="508"/>
      <c r="C12" s="476"/>
      <c r="D12" s="506"/>
      <c r="F12" s="73"/>
      <c r="G12" s="74" t="s">
        <v>6</v>
      </c>
      <c r="H12" s="75" t="s">
        <v>89</v>
      </c>
      <c r="I12" s="297" t="s">
        <v>5</v>
      </c>
      <c r="J12" s="406" t="s">
        <v>392</v>
      </c>
      <c r="K12" s="406" t="s">
        <v>249</v>
      </c>
      <c r="L12" s="73"/>
      <c r="M12" s="73"/>
      <c r="N12" s="73"/>
      <c r="O12" s="73"/>
      <c r="P12" s="95"/>
    </row>
    <row r="13" spans="1:16" ht="17.25" customHeight="1">
      <c r="A13" s="469">
        <v>2020</v>
      </c>
      <c r="B13" s="470"/>
      <c r="C13" s="15">
        <f>'Capital Costs'!C7</f>
        <v>0</v>
      </c>
      <c r="D13" s="15">
        <f>'Capital Costs'!D7</f>
        <v>0</v>
      </c>
      <c r="F13" s="477" t="s">
        <v>0</v>
      </c>
      <c r="G13" s="477" t="s">
        <v>7</v>
      </c>
      <c r="H13" s="477" t="s">
        <v>90</v>
      </c>
      <c r="I13" s="483" t="s">
        <v>91</v>
      </c>
      <c r="J13" s="481" t="s">
        <v>87</v>
      </c>
      <c r="K13" s="479" t="s">
        <v>246</v>
      </c>
      <c r="L13" s="483" t="s">
        <v>169</v>
      </c>
      <c r="M13" s="481" t="s">
        <v>170</v>
      </c>
    </row>
    <row r="14" spans="1:16" ht="18" customHeight="1" thickBot="1">
      <c r="A14" s="469">
        <v>2021</v>
      </c>
      <c r="B14" s="470"/>
      <c r="C14" s="348">
        <f>'Capital Costs'!C8</f>
        <v>71583.315885714284</v>
      </c>
      <c r="D14" s="348">
        <f>'Capital Costs'!D8</f>
        <v>66900.29522029373</v>
      </c>
      <c r="F14" s="478"/>
      <c r="G14" s="478"/>
      <c r="H14" s="478"/>
      <c r="I14" s="476"/>
      <c r="J14" s="482"/>
      <c r="K14" s="480"/>
      <c r="L14" s="476"/>
      <c r="M14" s="482"/>
      <c r="O14" s="94"/>
    </row>
    <row r="15" spans="1:16" ht="15" customHeight="1">
      <c r="A15" s="484">
        <v>2022</v>
      </c>
      <c r="B15" s="485"/>
      <c r="C15" s="348">
        <f>'Capital Costs'!C9</f>
        <v>3491400.990365535</v>
      </c>
      <c r="D15" s="348">
        <f>'Capital Costs'!D9</f>
        <v>3049524.8409167044</v>
      </c>
      <c r="F15" s="59">
        <v>2020</v>
      </c>
      <c r="G15" s="319">
        <v>29123705</v>
      </c>
      <c r="H15" s="320">
        <f>'State of Good Repair'!I7</f>
        <v>0</v>
      </c>
      <c r="I15" s="320">
        <f>'Economic Competitiveness'!M6</f>
        <v>-18479066.04335995</v>
      </c>
      <c r="J15" s="321">
        <f>'Quality of Life'!K6</f>
        <v>2183133.425465981</v>
      </c>
      <c r="K15" s="320">
        <f>'Environmental Sustainability'!J6</f>
        <v>-26332.385779884684</v>
      </c>
      <c r="L15" s="322">
        <f t="shared" ref="L15:L35" si="0">SUM(G15:K15)</f>
        <v>12801439.996326145</v>
      </c>
      <c r="M15" s="321">
        <f>L15*(1+0.07)^-(F15-2020)</f>
        <v>12801439.996326145</v>
      </c>
    </row>
    <row r="16" spans="1:16" ht="15" customHeight="1">
      <c r="A16" s="469">
        <v>2023</v>
      </c>
      <c r="B16" s="470"/>
      <c r="C16" s="348">
        <f>'Capital Costs'!C10</f>
        <v>2550459.7138213948</v>
      </c>
      <c r="D16" s="348">
        <f>'Capital Costs'!D10</f>
        <v>2081934.8494880542</v>
      </c>
      <c r="F16" s="2">
        <v>2021</v>
      </c>
      <c r="G16" s="319">
        <f>Safety!I11</f>
        <v>0</v>
      </c>
      <c r="H16" s="320">
        <f>'State of Good Repair'!I8</f>
        <v>0</v>
      </c>
      <c r="I16" s="320">
        <f>'Economic Competitiveness'!M7</f>
        <v>-19326819.757105775</v>
      </c>
      <c r="J16" s="321">
        <f>'Quality of Life'!K7</f>
        <v>2248908.1791884755</v>
      </c>
      <c r="K16" s="323">
        <f>'Environmental Sustainability'!J7</f>
        <v>-28091.23026018848</v>
      </c>
      <c r="L16" s="322">
        <f t="shared" si="0"/>
        <v>-17106002.80817749</v>
      </c>
      <c r="M16" s="321">
        <f t="shared" ref="M16:M35" si="1">L16*(1+0.07)^-(F16-2020)</f>
        <v>-15986918.512315411</v>
      </c>
    </row>
    <row r="17" spans="1:15" ht="15" customHeight="1">
      <c r="A17" s="484">
        <v>2024</v>
      </c>
      <c r="B17" s="485"/>
      <c r="C17" s="348">
        <f>'Capital Costs'!C11</f>
        <v>7013608.0165578239</v>
      </c>
      <c r="D17" s="348">
        <f>'Capital Costs'!D11</f>
        <v>5350647.9750101035</v>
      </c>
      <c r="F17" s="59">
        <v>2022</v>
      </c>
      <c r="G17" s="319">
        <f>Safety!I12</f>
        <v>0</v>
      </c>
      <c r="H17" s="320">
        <f>'State of Good Repair'!I9</f>
        <v>0</v>
      </c>
      <c r="I17" s="320">
        <f>'Economic Competitiveness'!M8</f>
        <v>-20205240.865971547</v>
      </c>
      <c r="J17" s="321">
        <f>'Quality of Life'!K8</f>
        <v>2316664.6341559729</v>
      </c>
      <c r="K17" s="323">
        <f>'Environmental Sustainability'!J8</f>
        <v>-29955.361636168436</v>
      </c>
      <c r="L17" s="322">
        <f t="shared" si="0"/>
        <v>-17918531.593451742</v>
      </c>
      <c r="M17" s="321">
        <f t="shared" si="1"/>
        <v>-15650739.447507853</v>
      </c>
    </row>
    <row r="18" spans="1:15" ht="15" customHeight="1">
      <c r="A18" s="469">
        <v>2025</v>
      </c>
      <c r="B18" s="470"/>
      <c r="C18" s="348">
        <f>'Capital Costs'!C12</f>
        <v>9987811.7153356224</v>
      </c>
      <c r="D18" s="348">
        <f>'Capital Costs'!D12</f>
        <v>7121171.7163193701</v>
      </c>
      <c r="F18" s="2">
        <v>2023</v>
      </c>
      <c r="G18" s="319">
        <f>Safety!I13</f>
        <v>0</v>
      </c>
      <c r="H18" s="320">
        <f>'State of Good Repair'!I10</f>
        <v>0</v>
      </c>
      <c r="I18" s="320">
        <f>'Economic Competitiveness'!M9</f>
        <v>-21115299.941736456</v>
      </c>
      <c r="J18" s="321">
        <f>'Quality of Life'!K9</f>
        <v>2386462.4962526043</v>
      </c>
      <c r="K18" s="323">
        <f>'Environmental Sustainability'!J9</f>
        <v>-31930.664870897457</v>
      </c>
      <c r="L18" s="322">
        <f t="shared" si="0"/>
        <v>-18760768.110354751</v>
      </c>
      <c r="M18" s="321">
        <f t="shared" si="1"/>
        <v>-15314375.177324183</v>
      </c>
    </row>
    <row r="19" spans="1:15" ht="15" customHeight="1">
      <c r="A19" s="484">
        <v>2026</v>
      </c>
      <c r="B19" s="485"/>
      <c r="C19" s="348">
        <f>'Capital Costs'!C13</f>
        <v>5961188.6045219097</v>
      </c>
      <c r="D19" s="348">
        <f>'Capital Costs'!D13</f>
        <v>3972191.6713267826</v>
      </c>
      <c r="F19" s="59">
        <v>2024</v>
      </c>
      <c r="G19" s="319">
        <f>Safety!I14</f>
        <v>0</v>
      </c>
      <c r="H19" s="320">
        <f>'State of Good Repair'!I11</f>
        <v>0</v>
      </c>
      <c r="I19" s="320">
        <f>'Economic Competitiveness'!M10</f>
        <v>-22057995.771641776</v>
      </c>
      <c r="J19" s="321">
        <f>'Quality of Life'!K10</f>
        <v>2458363.2702172007</v>
      </c>
      <c r="K19" s="323">
        <f>'Environmental Sustainability'!J10</f>
        <v>-34023.338626704164</v>
      </c>
      <c r="L19" s="322">
        <f t="shared" si="0"/>
        <v>-19633655.840051278</v>
      </c>
      <c r="M19" s="321">
        <f t="shared" si="1"/>
        <v>-14978422.035364052</v>
      </c>
    </row>
    <row r="20" spans="1:15" ht="15" customHeight="1">
      <c r="A20" s="469">
        <v>2027</v>
      </c>
      <c r="B20" s="470"/>
      <c r="C20" s="348">
        <f>'Capital Costs'!C14</f>
        <v>47652.240168000004</v>
      </c>
      <c r="D20" s="348">
        <f>'Capital Costs'!D14</f>
        <v>29675.420264844546</v>
      </c>
      <c r="F20" s="2">
        <v>2025</v>
      </c>
      <c r="G20" s="319">
        <f>Safety!I15</f>
        <v>1754984.412103829</v>
      </c>
      <c r="H20" s="320">
        <f>'State of Good Repair'!I12</f>
        <v>7038.6606669559642</v>
      </c>
      <c r="I20" s="320">
        <f>'Economic Competitiveness'!M11</f>
        <v>-11229493.987227377</v>
      </c>
      <c r="J20" s="321">
        <f>'Quality of Life'!K11</f>
        <v>2532430.3138402668</v>
      </c>
      <c r="K20" s="323">
        <f>'Environmental Sustainability'!J11</f>
        <v>-8381.0585812289428</v>
      </c>
      <c r="L20" s="322">
        <f t="shared" si="0"/>
        <v>-6943421.659197554</v>
      </c>
      <c r="M20" s="321">
        <f t="shared" si="1"/>
        <v>-4950563.6813354176</v>
      </c>
    </row>
    <row r="21" spans="1:15" ht="15" customHeight="1">
      <c r="A21" s="484">
        <v>2028</v>
      </c>
      <c r="B21" s="485"/>
      <c r="C21" s="348">
        <f>'Capital Costs'!C15</f>
        <v>0</v>
      </c>
      <c r="D21" s="348">
        <f>'Capital Costs'!D15</f>
        <v>0</v>
      </c>
      <c r="F21" s="59">
        <v>2026</v>
      </c>
      <c r="G21" s="319">
        <f>Safety!I16</f>
        <v>1790084.1003459059</v>
      </c>
      <c r="H21" s="320">
        <f>'State of Good Repair'!I13</f>
        <v>7179.4338802950842</v>
      </c>
      <c r="I21" s="320">
        <f>'Economic Competitiveness'!M12</f>
        <v>-11763679.338703208</v>
      </c>
      <c r="J21" s="321">
        <f>'Quality of Life'!K12</f>
        <v>2608728.8937938348</v>
      </c>
      <c r="K21" s="323">
        <f>'Environmental Sustainability'!J12</f>
        <v>-9023.2675799046629</v>
      </c>
      <c r="L21" s="322">
        <f t="shared" si="0"/>
        <v>-7366710.1782630766</v>
      </c>
      <c r="M21" s="321">
        <f t="shared" si="1"/>
        <v>-4908750.0423955563</v>
      </c>
    </row>
    <row r="22" spans="1:15" ht="15" customHeight="1">
      <c r="A22" s="469">
        <v>2029</v>
      </c>
      <c r="B22" s="470"/>
      <c r="C22" s="348">
        <f>'Capital Costs'!C16</f>
        <v>0</v>
      </c>
      <c r="D22" s="348">
        <f>'Capital Costs'!D16</f>
        <v>0</v>
      </c>
      <c r="F22" s="2">
        <v>2027</v>
      </c>
      <c r="G22" s="319">
        <f>Safety!I17</f>
        <v>2409188.0041404553</v>
      </c>
      <c r="H22" s="320">
        <f>'State of Good Repair'!I14</f>
        <v>7323.0225579009839</v>
      </c>
      <c r="I22" s="320">
        <f>'Economic Competitiveness'!M13</f>
        <v>25092331.278507307</v>
      </c>
      <c r="J22" s="321">
        <f>'Quality of Life'!K13</f>
        <v>2687326.2431433909</v>
      </c>
      <c r="K22" s="323">
        <f>'Environmental Sustainability'!J13</f>
        <v>41072.619928963148</v>
      </c>
      <c r="L22" s="322">
        <f t="shared" si="0"/>
        <v>30237241.168278016</v>
      </c>
      <c r="M22" s="321">
        <f t="shared" si="1"/>
        <v>18830234.132847264</v>
      </c>
    </row>
    <row r="23" spans="1:15" ht="15" customHeight="1">
      <c r="A23" s="484">
        <v>2030</v>
      </c>
      <c r="B23" s="485"/>
      <c r="C23" s="348">
        <f>'Capital Costs'!C17</f>
        <v>0</v>
      </c>
      <c r="D23" s="348">
        <f>'Capital Costs'!D17</f>
        <v>0</v>
      </c>
      <c r="F23" s="59">
        <v>2028</v>
      </c>
      <c r="G23" s="319">
        <f>Safety!I18</f>
        <v>2457371.7642232645</v>
      </c>
      <c r="H23" s="320">
        <f>'State of Good Repair'!I15</f>
        <v>2010972.0363016156</v>
      </c>
      <c r="I23" s="320">
        <f>'Economic Competitiveness'!M14</f>
        <v>26176153.81232867</v>
      </c>
      <c r="J23" s="321">
        <f>'Quality of Life'!K14</f>
        <v>2768291.6205925611</v>
      </c>
      <c r="K23" s="323">
        <f>'Environmental Sustainability'!J14</f>
        <v>43703.618802844394</v>
      </c>
      <c r="L23" s="322">
        <f t="shared" si="0"/>
        <v>33456492.852248956</v>
      </c>
      <c r="M23" s="321">
        <f t="shared" si="1"/>
        <v>19471983.446824022</v>
      </c>
    </row>
    <row r="24" spans="1:15" ht="15" customHeight="1">
      <c r="A24" s="469">
        <v>2031</v>
      </c>
      <c r="B24" s="470"/>
      <c r="C24" s="348">
        <f>'Capital Costs'!C18</f>
        <v>0</v>
      </c>
      <c r="D24" s="348">
        <f>'Capital Costs'!D18</f>
        <v>0</v>
      </c>
      <c r="F24" s="2">
        <v>2029</v>
      </c>
      <c r="G24" s="319">
        <f>Safety!I19</f>
        <v>2506519.1995077301</v>
      </c>
      <c r="H24" s="320">
        <f>'State of Good Repair'!I16</f>
        <v>7618.8726692401833</v>
      </c>
      <c r="I24" s="320">
        <f>'Economic Competitiveness'!M15</f>
        <v>27298058.065929096</v>
      </c>
      <c r="J24" s="321">
        <f>'Quality of Life'!K15</f>
        <v>2851696.3715127455</v>
      </c>
      <c r="K24" s="323">
        <f>'Environmental Sustainability'!J15</f>
        <v>46488.281317844492</v>
      </c>
      <c r="L24" s="322">
        <f t="shared" si="0"/>
        <v>32710380.790936656</v>
      </c>
      <c r="M24" s="321">
        <f t="shared" si="1"/>
        <v>17792279.844966799</v>
      </c>
      <c r="O24" s="335"/>
    </row>
    <row r="25" spans="1:15" ht="15" customHeight="1">
      <c r="A25" s="484">
        <v>2032</v>
      </c>
      <c r="B25" s="485"/>
      <c r="C25" s="348">
        <f>'Capital Costs'!C19</f>
        <v>0</v>
      </c>
      <c r="D25" s="348">
        <f>'Capital Costs'!D19</f>
        <v>0</v>
      </c>
      <c r="F25" s="59">
        <v>2030</v>
      </c>
      <c r="G25" s="319">
        <f>Safety!I20</f>
        <v>2556649.5834978847</v>
      </c>
      <c r="H25" s="320">
        <f>'State of Good Repair'!I17</f>
        <v>7056.549283012384</v>
      </c>
      <c r="I25" s="320">
        <f>'Economic Competitiveness'!M16</f>
        <v>28459229.094105061</v>
      </c>
      <c r="J25" s="321">
        <f>'Quality of Life'!K16</f>
        <v>2937613.9908115054</v>
      </c>
      <c r="K25" s="323">
        <f>'Environmental Sustainability'!J16</f>
        <v>49435.057172229855</v>
      </c>
      <c r="L25" s="322">
        <f t="shared" si="0"/>
        <v>34009984.274869695</v>
      </c>
      <c r="M25" s="321">
        <f t="shared" si="1"/>
        <v>17288951.431642894</v>
      </c>
    </row>
    <row r="26" spans="1:15" ht="15" customHeight="1">
      <c r="A26" s="469">
        <v>2033</v>
      </c>
      <c r="B26" s="470"/>
      <c r="C26" s="348">
        <f>'Capital Costs'!C20</f>
        <v>0</v>
      </c>
      <c r="D26" s="348">
        <f>'Capital Costs'!D20</f>
        <v>0</v>
      </c>
      <c r="F26" s="2">
        <v>2031</v>
      </c>
      <c r="G26" s="319">
        <f>Safety!I21</f>
        <v>2607782.5751678417</v>
      </c>
      <c r="H26" s="320">
        <f>'State of Good Repair'!I18</f>
        <v>7926.675125077486</v>
      </c>
      <c r="I26" s="320">
        <f>'Economic Competitiveness'!M17</f>
        <v>29660886.027457211</v>
      </c>
      <c r="J26" s="321">
        <f>'Quality of Life'!K17</f>
        <v>3026120.1876950688</v>
      </c>
      <c r="K26" s="323">
        <f>'Environmental Sustainability'!J17</f>
        <v>52552.841242880459</v>
      </c>
      <c r="L26" s="322">
        <f t="shared" si="0"/>
        <v>35355268.306688078</v>
      </c>
      <c r="M26" s="321">
        <f t="shared" si="1"/>
        <v>16797033.286857855</v>
      </c>
    </row>
    <row r="27" spans="1:15" ht="15" customHeight="1">
      <c r="A27" s="484">
        <v>2034</v>
      </c>
      <c r="B27" s="485"/>
      <c r="C27" s="348">
        <f>'Capital Costs'!C21</f>
        <v>0</v>
      </c>
      <c r="D27" s="348">
        <f>'Capital Costs'!D21</f>
        <v>0</v>
      </c>
      <c r="F27" s="59">
        <v>2032</v>
      </c>
      <c r="G27" s="319">
        <f>Safety!I22</f>
        <v>2659938.2266711993</v>
      </c>
      <c r="H27" s="320">
        <f>'State of Good Repair'!I19</f>
        <v>8085.2086275790371</v>
      </c>
      <c r="I27" s="320">
        <f>'Economic Competitiveness'!M18</f>
        <v>30904282.99952691</v>
      </c>
      <c r="J27" s="321">
        <f>'Quality of Life'!K18</f>
        <v>3117292.9523820588</v>
      </c>
      <c r="K27" s="323">
        <f>'Environmental Sustainability'!J18</f>
        <v>55850.996299626997</v>
      </c>
      <c r="L27" s="322">
        <f t="shared" si="0"/>
        <v>36745450.383507371</v>
      </c>
      <c r="M27" s="321">
        <f t="shared" si="1"/>
        <v>16315419.417964336</v>
      </c>
    </row>
    <row r="28" spans="1:15" ht="15" customHeight="1">
      <c r="A28" s="469">
        <v>2035</v>
      </c>
      <c r="B28" s="470"/>
      <c r="C28" s="348">
        <f>'Capital Costs'!C22</f>
        <v>0</v>
      </c>
      <c r="D28" s="348">
        <f>'Capital Costs'!D22</f>
        <v>0</v>
      </c>
      <c r="F28" s="2">
        <v>2033</v>
      </c>
      <c r="G28" s="319">
        <f>Safety!I23</f>
        <v>2713136.9912046227</v>
      </c>
      <c r="H28" s="320">
        <f>'State of Good Repair'!I20</f>
        <v>8246.9128001306181</v>
      </c>
      <c r="I28" s="320">
        <f>'Economic Competitiveness'!M19</f>
        <v>32190710.098149888</v>
      </c>
      <c r="J28" s="321">
        <f>'Quality of Life'!K19</f>
        <v>3211212.6248271959</v>
      </c>
      <c r="K28" s="323">
        <f>'Environmental Sustainability'!J19</f>
        <v>59339.37684992369</v>
      </c>
      <c r="L28" s="322">
        <f t="shared" si="0"/>
        <v>38182646.003831767</v>
      </c>
      <c r="M28" s="321">
        <f t="shared" si="1"/>
        <v>15844440.617903525</v>
      </c>
    </row>
    <row r="29" spans="1:15" ht="15" customHeight="1">
      <c r="A29" s="484">
        <v>2036</v>
      </c>
      <c r="B29" s="485"/>
      <c r="C29" s="348">
        <f>'Capital Costs'!C23</f>
        <v>0</v>
      </c>
      <c r="D29" s="348">
        <f>'Capital Costs'!D23</f>
        <v>0</v>
      </c>
      <c r="F29" s="59">
        <v>2034</v>
      </c>
      <c r="G29" s="319">
        <f>Safety!I24</f>
        <v>2767399.7310287151</v>
      </c>
      <c r="H29" s="320">
        <f>'State of Good Repair'!I21</f>
        <v>8411.8510561332296</v>
      </c>
      <c r="I29" s="320">
        <f>'Economic Competitiveness'!M20</f>
        <v>33521494.341641102</v>
      </c>
      <c r="J29" s="321">
        <f>'Quality of Life'!K20</f>
        <v>3307961.9655155642</v>
      </c>
      <c r="K29" s="323">
        <f>'Environmental Sustainability'!J20</f>
        <v>63028.354168989252</v>
      </c>
      <c r="L29" s="322">
        <f t="shared" si="0"/>
        <v>39668296.243410498</v>
      </c>
      <c r="M29" s="321">
        <f t="shared" si="1"/>
        <v>15384049.204977373</v>
      </c>
      <c r="N29" s="336"/>
    </row>
    <row r="30" spans="1:15" ht="15" customHeight="1">
      <c r="A30" s="469">
        <v>2037</v>
      </c>
      <c r="B30" s="470"/>
      <c r="C30" s="348">
        <f>'Capital Costs'!C24</f>
        <v>0</v>
      </c>
      <c r="D30" s="348">
        <f>'Capital Costs'!D24</f>
        <v>0</v>
      </c>
      <c r="F30" s="2">
        <v>2035</v>
      </c>
      <c r="G30" s="319">
        <f>Safety!I25</f>
        <v>2822747.7256492889</v>
      </c>
      <c r="H30" s="320">
        <f>'State of Good Repair'!I22</f>
        <v>-2265817.2468747874</v>
      </c>
      <c r="I30" s="320">
        <f>'Economic Competitiveness'!M21</f>
        <v>34898000.680438221</v>
      </c>
      <c r="J30" s="321">
        <f>'Quality of Life'!K21</f>
        <v>3407626.2283897959</v>
      </c>
      <c r="K30" s="323">
        <f>'Environmental Sustainability'!J21</f>
        <v>66928.842573191097</v>
      </c>
      <c r="L30" s="322">
        <f t="shared" si="0"/>
        <v>38929486.230175711</v>
      </c>
      <c r="M30" s="321">
        <f t="shared" si="1"/>
        <v>14109837.330849236</v>
      </c>
    </row>
    <row r="31" spans="1:15" ht="15" customHeight="1">
      <c r="A31" s="484">
        <v>2038</v>
      </c>
      <c r="B31" s="485"/>
      <c r="C31" s="348">
        <f>'Capital Costs'!C25</f>
        <v>0</v>
      </c>
      <c r="D31" s="348">
        <f>'Capital Costs'!D25</f>
        <v>0</v>
      </c>
      <c r="F31" s="59">
        <v>2036</v>
      </c>
      <c r="G31" s="319">
        <f>Safety!I26</f>
        <v>2879202.6801622752</v>
      </c>
      <c r="H31" s="320">
        <f>'State of Good Repair'!I23</f>
        <v>8751.6898388010122</v>
      </c>
      <c r="I31" s="320">
        <f>'Economic Competitiveness'!M22</f>
        <v>36321633.02484832</v>
      </c>
      <c r="J31" s="321">
        <f>'Quality of Life'!K22</f>
        <v>3510293.2359744608</v>
      </c>
      <c r="K31" s="323">
        <f>'Environmental Sustainability'!J22</f>
        <v>71052.326997220458</v>
      </c>
      <c r="L31" s="322">
        <f t="shared" si="0"/>
        <v>42790932.957821079</v>
      </c>
      <c r="M31" s="321">
        <f t="shared" si="1"/>
        <v>14494769.464808706</v>
      </c>
    </row>
    <row r="32" spans="1:15" ht="15" customHeight="1">
      <c r="A32" s="469">
        <v>2039</v>
      </c>
      <c r="B32" s="470"/>
      <c r="C32" s="348">
        <f>'Capital Costs'!C26</f>
        <v>0</v>
      </c>
      <c r="D32" s="348">
        <f>'Capital Costs'!D26</f>
        <v>0</v>
      </c>
      <c r="F32" s="2">
        <v>2037</v>
      </c>
      <c r="G32" s="319">
        <f>Safety!I27</f>
        <v>2936786.7337655211</v>
      </c>
      <c r="H32" s="320">
        <f>'State of Good Repair'!I24</f>
        <v>8926.7236355770328</v>
      </c>
      <c r="I32" s="320">
        <f>'Economic Competitiveness'!M23</f>
        <v>37793835.29955624</v>
      </c>
      <c r="J32" s="321">
        <f>'Quality of Life'!K23</f>
        <v>3616053.4567638407</v>
      </c>
      <c r="K32" s="323">
        <f>'Environmental Sustainability'!J23</f>
        <v>75410.891938503773</v>
      </c>
      <c r="L32" s="322">
        <f t="shared" si="0"/>
        <v>44431013.105659679</v>
      </c>
      <c r="M32" s="321">
        <f t="shared" si="1"/>
        <v>14065720.891627103</v>
      </c>
    </row>
    <row r="33" spans="1:15" s="111" customFormat="1" ht="15" customHeight="1" thickBot="1">
      <c r="A33" s="484">
        <v>2040</v>
      </c>
      <c r="B33" s="485"/>
      <c r="C33" s="348">
        <f>'Capital Costs'!C27</f>
        <v>0</v>
      </c>
      <c r="D33" s="348">
        <f>'Capital Costs'!D27</f>
        <v>0</v>
      </c>
      <c r="F33" s="59">
        <v>2038</v>
      </c>
      <c r="G33" s="319">
        <f>Safety!I28</f>
        <v>2995522.4684408312</v>
      </c>
      <c r="H33" s="320">
        <f>'State of Good Repair'!I25</f>
        <v>9105.2581082885736</v>
      </c>
      <c r="I33" s="320">
        <f>'Economic Competitiveness'!M24</f>
        <v>39316092.525572084</v>
      </c>
      <c r="J33" s="321">
        <f>'Quality of Life'!K24</f>
        <v>3725000.0849412964</v>
      </c>
      <c r="K33" s="324">
        <f>'Environmental Sustainability'!J24</f>
        <v>80017.251835339513</v>
      </c>
      <c r="L33" s="322">
        <f t="shared" si="0"/>
        <v>46125737.588897839</v>
      </c>
      <c r="M33" s="321">
        <f t="shared" si="1"/>
        <v>13646941.36627367</v>
      </c>
      <c r="N33" s="335"/>
      <c r="O33"/>
    </row>
    <row r="34" spans="1:15" ht="15.75" customHeight="1" thickBot="1">
      <c r="A34" s="513" t="s">
        <v>230</v>
      </c>
      <c r="B34" s="514"/>
      <c r="C34" s="517">
        <f>SUM(C13:C33)</f>
        <v>29123704.596655998</v>
      </c>
      <c r="D34" s="517">
        <f>SUM(D13:D33)</f>
        <v>21672046.768546153</v>
      </c>
      <c r="F34" s="2">
        <v>2039</v>
      </c>
      <c r="G34" s="319">
        <f>Safety!I29</f>
        <v>3055432.9178096475</v>
      </c>
      <c r="H34" s="320">
        <f>'State of Good Repair'!I26</f>
        <v>2500390.9648375064</v>
      </c>
      <c r="I34" s="320">
        <f>'Economic Competitiveness'!M25</f>
        <v>40889931.930308864</v>
      </c>
      <c r="J34" s="321">
        <f>'Quality of Life'!K25</f>
        <v>3837229.1225004578</v>
      </c>
      <c r="K34" s="325">
        <f>'Environmental Sustainability'!J25</f>
        <v>84884.782948424501</v>
      </c>
      <c r="L34" s="326">
        <f t="shared" si="0"/>
        <v>50367869.718404904</v>
      </c>
      <c r="M34" s="321">
        <f t="shared" si="1"/>
        <v>13927135.693143282</v>
      </c>
      <c r="N34" s="145"/>
    </row>
    <row r="35" spans="1:15" ht="15" customHeight="1" thickBot="1">
      <c r="A35" s="515"/>
      <c r="B35" s="516"/>
      <c r="C35" s="517"/>
      <c r="D35" s="517"/>
      <c r="E35" s="93"/>
      <c r="F35" s="3">
        <v>2040</v>
      </c>
      <c r="G35" s="327">
        <f>Safety!I30</f>
        <v>3116541.576165841</v>
      </c>
      <c r="H35" s="320">
        <f>'State of Good Repair'!I27</f>
        <v>9473.1105358634304</v>
      </c>
      <c r="I35" s="328">
        <f>'Economic Competitiveness'!M26</f>
        <v>42516924.086500973</v>
      </c>
      <c r="J35" s="329">
        <f>'Quality of Life'!K26</f>
        <v>3952839.4638406266</v>
      </c>
      <c r="K35" s="330">
        <f>'Environmental Sustainability'!J26</f>
        <v>90027.556818772573</v>
      </c>
      <c r="L35" s="331">
        <f t="shared" si="0"/>
        <v>49685805.793862082</v>
      </c>
      <c r="M35" s="321">
        <f t="shared" si="1"/>
        <v>12839756.387253379</v>
      </c>
      <c r="N35" s="111"/>
      <c r="O35" s="111"/>
    </row>
    <row r="36" spans="1:15" ht="30" customHeight="1" thickBot="1">
      <c r="E36" s="12"/>
      <c r="F36" s="11"/>
      <c r="G36" s="82"/>
      <c r="H36" s="510" t="s">
        <v>230</v>
      </c>
      <c r="I36" s="511"/>
      <c r="J36" s="511"/>
      <c r="K36" s="512"/>
      <c r="L36" s="473">
        <f>SUM(L15:L35)</f>
        <v>477768955.22542256</v>
      </c>
      <c r="M36" s="472">
        <f>SUM(M15:M35)</f>
        <v>161820223.6180231</v>
      </c>
      <c r="N36" s="158"/>
    </row>
    <row r="37" spans="1:15" ht="15" customHeight="1" thickBot="1">
      <c r="E37" s="12"/>
      <c r="F37" s="93"/>
      <c r="G37" s="93"/>
      <c r="H37" s="510"/>
      <c r="I37" s="511"/>
      <c r="J37" s="511"/>
      <c r="K37" s="512"/>
      <c r="L37" s="474"/>
      <c r="M37" s="472"/>
    </row>
    <row r="38" spans="1:15" ht="15" customHeight="1">
      <c r="C38" s="39"/>
      <c r="D38" s="39"/>
      <c r="E38" s="60"/>
      <c r="F38" s="10"/>
      <c r="G38" s="10"/>
      <c r="H38" s="92"/>
      <c r="I38" s="10"/>
      <c r="J38" s="10"/>
      <c r="K38" s="10"/>
      <c r="L38" s="10"/>
    </row>
    <row r="39" spans="1:15" ht="15" customHeight="1">
      <c r="C39" s="135"/>
      <c r="F39" s="91"/>
      <c r="G39" s="10"/>
      <c r="H39" s="10"/>
      <c r="I39" s="10"/>
      <c r="J39" s="10"/>
      <c r="K39" s="10"/>
    </row>
    <row r="40" spans="1:15" ht="15" customHeight="1">
      <c r="F40"/>
      <c r="O40" s="380" t="s">
        <v>268</v>
      </c>
    </row>
    <row r="41" spans="1:15" ht="13.5" customHeight="1"/>
    <row r="42" spans="1:15" ht="13.5" customHeight="1"/>
    <row r="43" spans="1:15" ht="15" customHeight="1"/>
    <row r="44" spans="1:15">
      <c r="A44" s="7"/>
      <c r="E44" s="39"/>
    </row>
    <row r="47" spans="1:15">
      <c r="F47"/>
      <c r="G47" s="60"/>
    </row>
    <row r="48" spans="1:15">
      <c r="F48"/>
      <c r="G48" s="60"/>
    </row>
    <row r="49" spans="1:15" ht="15" customHeight="1">
      <c r="F49"/>
    </row>
    <row r="50" spans="1:15">
      <c r="B50" s="111"/>
      <c r="C50" s="111"/>
      <c r="D50" s="111"/>
      <c r="F50"/>
    </row>
    <row r="51" spans="1:15">
      <c r="F51"/>
    </row>
    <row r="52" spans="1:15">
      <c r="F52"/>
    </row>
    <row r="53" spans="1:15">
      <c r="F53"/>
    </row>
    <row r="54" spans="1:15">
      <c r="F54"/>
    </row>
    <row r="55" spans="1:15">
      <c r="F55"/>
    </row>
    <row r="56" spans="1:15">
      <c r="E56" s="111"/>
      <c r="F56"/>
    </row>
    <row r="57" spans="1:15">
      <c r="F57"/>
    </row>
    <row r="58" spans="1:15">
      <c r="F58"/>
    </row>
    <row r="59" spans="1:15">
      <c r="F59"/>
      <c r="H59" s="111"/>
      <c r="I59" s="111"/>
      <c r="J59" s="111"/>
      <c r="K59" s="111"/>
      <c r="L59" s="111"/>
      <c r="M59" s="111"/>
    </row>
    <row r="60" spans="1:15">
      <c r="A60" s="111"/>
      <c r="F60" s="111"/>
      <c r="G60" s="111"/>
      <c r="N60" s="111"/>
    </row>
    <row r="62" spans="1:15" s="111" customFormat="1">
      <c r="A62"/>
      <c r="B62"/>
      <c r="C62"/>
      <c r="D62"/>
      <c r="E62"/>
      <c r="F62" s="60"/>
      <c r="G62"/>
      <c r="H62"/>
      <c r="I62"/>
      <c r="J62"/>
      <c r="K62"/>
      <c r="L62"/>
      <c r="M62"/>
      <c r="N62"/>
      <c r="O62"/>
    </row>
    <row r="64" spans="1:15">
      <c r="O64" s="111"/>
    </row>
  </sheetData>
  <mergeCells count="50">
    <mergeCell ref="A1:N1"/>
    <mergeCell ref="H36:K37"/>
    <mergeCell ref="A34:B35"/>
    <mergeCell ref="C34:C35"/>
    <mergeCell ref="D34:D35"/>
    <mergeCell ref="A13:B13"/>
    <mergeCell ref="A14:B14"/>
    <mergeCell ref="A15:B15"/>
    <mergeCell ref="A16:B16"/>
    <mergeCell ref="A17:B17"/>
    <mergeCell ref="A29:B29"/>
    <mergeCell ref="A30:B30"/>
    <mergeCell ref="A31:B31"/>
    <mergeCell ref="A32:B32"/>
    <mergeCell ref="A33:B33"/>
    <mergeCell ref="A27:B27"/>
    <mergeCell ref="G11:K11"/>
    <mergeCell ref="D11:D12"/>
    <mergeCell ref="A11:B12"/>
    <mergeCell ref="A18:B18"/>
    <mergeCell ref="A19:B19"/>
    <mergeCell ref="A25:B25"/>
    <mergeCell ref="B5:C5"/>
    <mergeCell ref="B6:C6"/>
    <mergeCell ref="B7:C7"/>
    <mergeCell ref="B8:C8"/>
    <mergeCell ref="A10:D10"/>
    <mergeCell ref="D5:E5"/>
    <mergeCell ref="D6:E6"/>
    <mergeCell ref="D7:E7"/>
    <mergeCell ref="D8:E8"/>
    <mergeCell ref="A20:B20"/>
    <mergeCell ref="A21:B21"/>
    <mergeCell ref="A22:B22"/>
    <mergeCell ref="A26:B26"/>
    <mergeCell ref="F10:M10"/>
    <mergeCell ref="A28:B28"/>
    <mergeCell ref="M36:M37"/>
    <mergeCell ref="L36:L37"/>
    <mergeCell ref="C11:C12"/>
    <mergeCell ref="G13:G14"/>
    <mergeCell ref="K13:K14"/>
    <mergeCell ref="J13:J14"/>
    <mergeCell ref="F13:F14"/>
    <mergeCell ref="I13:I14"/>
    <mergeCell ref="M13:M14"/>
    <mergeCell ref="L13:L14"/>
    <mergeCell ref="H13:H14"/>
    <mergeCell ref="A23:B23"/>
    <mergeCell ref="A24:B24"/>
  </mergeCells>
  <pageMargins left="0.2" right="0.2" top="0.25" bottom="0.25" header="0.3" footer="0.3"/>
  <pageSetup paperSize="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153"/>
  <sheetViews>
    <sheetView workbookViewId="0">
      <selection activeCell="I57" sqref="I57"/>
    </sheetView>
  </sheetViews>
  <sheetFormatPr defaultColWidth="9.140625" defaultRowHeight="15"/>
  <cols>
    <col min="1" max="1" width="36.7109375" style="17" customWidth="1"/>
    <col min="2" max="3" width="17.7109375" style="17" customWidth="1"/>
    <col min="4" max="5" width="20.85546875" style="17" customWidth="1"/>
    <col min="6" max="16384" width="9.140625" style="17"/>
  </cols>
  <sheetData>
    <row r="1" spans="1:5">
      <c r="E1" s="23"/>
    </row>
    <row r="2" spans="1:5">
      <c r="E2" s="23"/>
    </row>
    <row r="3" spans="1:5">
      <c r="A3" s="18" t="s">
        <v>309</v>
      </c>
      <c r="E3" s="23"/>
    </row>
    <row r="4" spans="1:5" ht="30.6" customHeight="1">
      <c r="A4" s="364" t="s">
        <v>180</v>
      </c>
      <c r="B4" s="684" t="s">
        <v>191</v>
      </c>
      <c r="C4" s="685"/>
      <c r="D4" s="686"/>
      <c r="E4" s="204"/>
    </row>
    <row r="5" spans="1:5">
      <c r="A5" s="365"/>
      <c r="B5" s="687" t="s">
        <v>179</v>
      </c>
      <c r="C5" s="687"/>
      <c r="D5" s="687"/>
      <c r="E5" s="50"/>
    </row>
    <row r="6" spans="1:5">
      <c r="A6" s="367" t="s">
        <v>178</v>
      </c>
      <c r="B6" s="45">
        <v>2014</v>
      </c>
      <c r="C6" s="45">
        <v>2015</v>
      </c>
      <c r="D6" s="45">
        <v>2016</v>
      </c>
      <c r="E6" s="50"/>
    </row>
    <row r="7" spans="1:5">
      <c r="A7" s="32" t="s">
        <v>134</v>
      </c>
      <c r="B7" s="317">
        <v>0</v>
      </c>
      <c r="C7" s="317">
        <v>0</v>
      </c>
      <c r="D7" s="317">
        <v>1</v>
      </c>
      <c r="E7" s="304"/>
    </row>
    <row r="8" spans="1:5">
      <c r="A8" s="195" t="s">
        <v>135</v>
      </c>
      <c r="B8" s="317">
        <v>0</v>
      </c>
      <c r="C8" s="317">
        <v>1</v>
      </c>
      <c r="D8" s="317">
        <v>0</v>
      </c>
      <c r="E8" s="304"/>
    </row>
    <row r="9" spans="1:5">
      <c r="A9" s="84" t="s">
        <v>137</v>
      </c>
      <c r="B9" s="317">
        <v>4</v>
      </c>
      <c r="C9" s="317">
        <v>1</v>
      </c>
      <c r="D9" s="317">
        <v>4</v>
      </c>
      <c r="E9" s="304"/>
    </row>
    <row r="10" spans="1:5">
      <c r="A10" s="85" t="s">
        <v>138</v>
      </c>
      <c r="B10" s="317">
        <v>6</v>
      </c>
      <c r="C10" s="317">
        <v>5</v>
      </c>
      <c r="D10" s="317">
        <v>11</v>
      </c>
      <c r="E10" s="304"/>
    </row>
    <row r="11" spans="1:5">
      <c r="A11" s="32" t="s">
        <v>136</v>
      </c>
      <c r="B11" s="317">
        <v>26</v>
      </c>
      <c r="C11" s="317">
        <v>22</v>
      </c>
      <c r="D11" s="317">
        <v>25</v>
      </c>
      <c r="E11" s="304"/>
    </row>
    <row r="13" spans="1:5" ht="30" customHeight="1">
      <c r="A13" s="364" t="s">
        <v>180</v>
      </c>
      <c r="B13" s="688" t="s">
        <v>184</v>
      </c>
      <c r="C13" s="688"/>
      <c r="D13" s="688"/>
      <c r="E13" s="205"/>
    </row>
    <row r="14" spans="1:5">
      <c r="A14" s="365"/>
      <c r="B14" s="687" t="s">
        <v>179</v>
      </c>
      <c r="C14" s="687"/>
      <c r="D14" s="687"/>
      <c r="E14" s="50"/>
    </row>
    <row r="15" spans="1:5">
      <c r="A15" s="367" t="s">
        <v>178</v>
      </c>
      <c r="B15" s="45">
        <v>2014</v>
      </c>
      <c r="C15" s="45">
        <v>2015</v>
      </c>
      <c r="D15" s="45">
        <v>2016</v>
      </c>
      <c r="E15" s="50"/>
    </row>
    <row r="16" spans="1:5">
      <c r="A16" s="32" t="s">
        <v>134</v>
      </c>
      <c r="B16" s="317">
        <v>0</v>
      </c>
      <c r="C16" s="317">
        <v>0</v>
      </c>
      <c r="D16" s="317">
        <v>0</v>
      </c>
      <c r="E16" s="304"/>
    </row>
    <row r="17" spans="1:5">
      <c r="A17" s="195" t="s">
        <v>135</v>
      </c>
      <c r="B17" s="317">
        <v>0</v>
      </c>
      <c r="C17" s="317">
        <v>0</v>
      </c>
      <c r="D17" s="317">
        <v>0</v>
      </c>
      <c r="E17" s="304"/>
    </row>
    <row r="18" spans="1:5">
      <c r="A18" s="84" t="s">
        <v>137</v>
      </c>
      <c r="B18" s="317">
        <v>0</v>
      </c>
      <c r="C18" s="317">
        <v>0</v>
      </c>
      <c r="D18" s="317">
        <v>0</v>
      </c>
      <c r="E18" s="304"/>
    </row>
    <row r="19" spans="1:5">
      <c r="A19" s="85" t="s">
        <v>138</v>
      </c>
      <c r="B19" s="317">
        <v>2</v>
      </c>
      <c r="C19" s="317">
        <v>2</v>
      </c>
      <c r="D19" s="317">
        <v>3</v>
      </c>
      <c r="E19" s="304"/>
    </row>
    <row r="20" spans="1:5">
      <c r="A20" s="32" t="s">
        <v>136</v>
      </c>
      <c r="B20" s="317">
        <v>8</v>
      </c>
      <c r="C20" s="317">
        <v>10</v>
      </c>
      <c r="D20" s="317">
        <v>6</v>
      </c>
      <c r="E20" s="304"/>
    </row>
    <row r="21" spans="1:5">
      <c r="A21" s="363"/>
      <c r="B21" s="362"/>
      <c r="C21" s="362"/>
      <c r="D21" s="362"/>
      <c r="E21" s="352"/>
    </row>
    <row r="22" spans="1:5" ht="30" customHeight="1">
      <c r="A22" s="364" t="s">
        <v>180</v>
      </c>
      <c r="B22" s="684" t="s">
        <v>190</v>
      </c>
      <c r="C22" s="685"/>
      <c r="D22" s="686"/>
      <c r="E22" s="204"/>
    </row>
    <row r="23" spans="1:5">
      <c r="A23" s="365"/>
      <c r="B23" s="687" t="s">
        <v>179</v>
      </c>
      <c r="C23" s="687"/>
      <c r="D23" s="687"/>
      <c r="E23" s="50"/>
    </row>
    <row r="24" spans="1:5">
      <c r="A24" s="367" t="s">
        <v>178</v>
      </c>
      <c r="B24" s="45">
        <v>2014</v>
      </c>
      <c r="C24" s="45">
        <v>2015</v>
      </c>
      <c r="D24" s="45">
        <v>2016</v>
      </c>
      <c r="E24" s="50"/>
    </row>
    <row r="25" spans="1:5">
      <c r="A25" s="32" t="s">
        <v>134</v>
      </c>
      <c r="B25" s="317">
        <v>0</v>
      </c>
      <c r="C25" s="317">
        <v>0</v>
      </c>
      <c r="D25" s="317">
        <v>0</v>
      </c>
      <c r="E25" s="304"/>
    </row>
    <row r="26" spans="1:5">
      <c r="A26" s="195" t="s">
        <v>135</v>
      </c>
      <c r="B26" s="317">
        <v>0</v>
      </c>
      <c r="C26" s="317">
        <v>1</v>
      </c>
      <c r="D26" s="317">
        <v>1</v>
      </c>
      <c r="E26" s="304"/>
    </row>
    <row r="27" spans="1:5">
      <c r="A27" s="84" t="s">
        <v>137</v>
      </c>
      <c r="B27" s="317">
        <v>0</v>
      </c>
      <c r="C27" s="317">
        <v>2</v>
      </c>
      <c r="D27" s="317">
        <v>0</v>
      </c>
      <c r="E27" s="304"/>
    </row>
    <row r="28" spans="1:5">
      <c r="A28" s="85" t="s">
        <v>138</v>
      </c>
      <c r="B28" s="317">
        <v>4</v>
      </c>
      <c r="C28" s="317">
        <v>6</v>
      </c>
      <c r="D28" s="317">
        <v>7</v>
      </c>
      <c r="E28" s="304"/>
    </row>
    <row r="29" spans="1:5">
      <c r="A29" s="32" t="s">
        <v>136</v>
      </c>
      <c r="B29" s="317">
        <v>14</v>
      </c>
      <c r="C29" s="317">
        <v>17</v>
      </c>
      <c r="D29" s="317">
        <v>22</v>
      </c>
      <c r="E29" s="304"/>
    </row>
    <row r="30" spans="1:5">
      <c r="A30" s="25"/>
      <c r="B30" s="352"/>
      <c r="C30" s="352"/>
      <c r="D30" s="352"/>
      <c r="E30" s="352"/>
    </row>
    <row r="31" spans="1:5">
      <c r="A31" s="364" t="s">
        <v>180</v>
      </c>
      <c r="B31" s="688" t="s">
        <v>185</v>
      </c>
      <c r="C31" s="688"/>
      <c r="D31" s="688"/>
      <c r="E31" s="205"/>
    </row>
    <row r="32" spans="1:5">
      <c r="A32" s="365"/>
      <c r="B32" s="687" t="s">
        <v>179</v>
      </c>
      <c r="C32" s="687"/>
      <c r="D32" s="687"/>
      <c r="E32" s="50"/>
    </row>
    <row r="33" spans="1:5">
      <c r="A33" s="367" t="s">
        <v>178</v>
      </c>
      <c r="B33" s="45">
        <v>2014</v>
      </c>
      <c r="C33" s="45">
        <v>2015</v>
      </c>
      <c r="D33" s="45">
        <v>2016</v>
      </c>
      <c r="E33" s="50"/>
    </row>
    <row r="34" spans="1:5">
      <c r="A34" s="32" t="s">
        <v>134</v>
      </c>
      <c r="B34" s="317">
        <v>0</v>
      </c>
      <c r="C34" s="317">
        <v>0</v>
      </c>
      <c r="D34" s="317">
        <v>0</v>
      </c>
      <c r="E34" s="304"/>
    </row>
    <row r="35" spans="1:5" ht="14.45" customHeight="1">
      <c r="A35" s="195" t="s">
        <v>135</v>
      </c>
      <c r="B35" s="317">
        <v>0</v>
      </c>
      <c r="C35" s="317">
        <v>0</v>
      </c>
      <c r="D35" s="317">
        <v>0</v>
      </c>
      <c r="E35" s="304"/>
    </row>
    <row r="36" spans="1:5">
      <c r="A36" s="84" t="s">
        <v>137</v>
      </c>
      <c r="B36" s="317">
        <v>2</v>
      </c>
      <c r="C36" s="317">
        <v>0</v>
      </c>
      <c r="D36" s="317">
        <v>2</v>
      </c>
      <c r="E36" s="304"/>
    </row>
    <row r="37" spans="1:5">
      <c r="A37" s="85" t="s">
        <v>138</v>
      </c>
      <c r="B37" s="317">
        <v>3</v>
      </c>
      <c r="C37" s="317">
        <v>5</v>
      </c>
      <c r="D37" s="317">
        <v>9</v>
      </c>
      <c r="E37" s="304"/>
    </row>
    <row r="38" spans="1:5">
      <c r="A38" s="32" t="s">
        <v>136</v>
      </c>
      <c r="B38" s="317">
        <v>18</v>
      </c>
      <c r="C38" s="317">
        <v>28</v>
      </c>
      <c r="D38" s="317">
        <v>30</v>
      </c>
      <c r="E38" s="304"/>
    </row>
    <row r="39" spans="1:5">
      <c r="A39" s="25"/>
      <c r="B39" s="352"/>
      <c r="C39" s="352"/>
      <c r="D39" s="352"/>
      <c r="E39" s="352"/>
    </row>
    <row r="40" spans="1:5">
      <c r="A40" s="25"/>
      <c r="B40" s="304"/>
      <c r="C40" s="304"/>
      <c r="D40" s="304"/>
      <c r="E40" s="304"/>
    </row>
    <row r="41" spans="1:5">
      <c r="A41" s="364" t="s">
        <v>180</v>
      </c>
      <c r="B41" s="688" t="s">
        <v>215</v>
      </c>
      <c r="C41" s="688"/>
      <c r="D41" s="688"/>
      <c r="E41" s="304"/>
    </row>
    <row r="42" spans="1:5">
      <c r="A42" s="365"/>
      <c r="B42" s="687" t="s">
        <v>179</v>
      </c>
      <c r="C42" s="687"/>
      <c r="D42" s="687"/>
      <c r="E42" s="304"/>
    </row>
    <row r="43" spans="1:5">
      <c r="A43" s="367" t="s">
        <v>178</v>
      </c>
      <c r="B43" s="45">
        <v>2014</v>
      </c>
      <c r="C43" s="45">
        <v>2015</v>
      </c>
      <c r="D43" s="45">
        <v>2016</v>
      </c>
      <c r="E43" s="45" t="s">
        <v>192</v>
      </c>
    </row>
    <row r="44" spans="1:5" ht="15" customHeight="1">
      <c r="A44" s="32" t="s">
        <v>134</v>
      </c>
      <c r="B44" s="317">
        <f>SUM(B7,B16,B25,B34)</f>
        <v>0</v>
      </c>
      <c r="C44" s="353">
        <f t="shared" ref="C44:D44" si="0">SUM(C7,C16,C25,C34)</f>
        <v>0</v>
      </c>
      <c r="D44" s="353">
        <f t="shared" si="0"/>
        <v>1</v>
      </c>
      <c r="E44" s="259">
        <f>SUM(B44:D44)/3</f>
        <v>0.33333333333333331</v>
      </c>
    </row>
    <row r="45" spans="1:5">
      <c r="A45" s="195" t="s">
        <v>135</v>
      </c>
      <c r="B45" s="353">
        <f t="shared" ref="B45:D45" si="1">SUM(B8,B17,B26,B35)</f>
        <v>0</v>
      </c>
      <c r="C45" s="353">
        <f t="shared" si="1"/>
        <v>2</v>
      </c>
      <c r="D45" s="353">
        <f t="shared" si="1"/>
        <v>1</v>
      </c>
      <c r="E45" s="259">
        <f t="shared" ref="E45:E48" si="2">SUM(B45:D45)/3</f>
        <v>1</v>
      </c>
    </row>
    <row r="46" spans="1:5">
      <c r="A46" s="84" t="s">
        <v>137</v>
      </c>
      <c r="B46" s="353">
        <f t="shared" ref="B46:D46" si="3">SUM(B9,B18,B27,B36)</f>
        <v>6</v>
      </c>
      <c r="C46" s="353">
        <f t="shared" si="3"/>
        <v>3</v>
      </c>
      <c r="D46" s="353">
        <f t="shared" si="3"/>
        <v>6</v>
      </c>
      <c r="E46" s="259">
        <f t="shared" si="2"/>
        <v>5</v>
      </c>
    </row>
    <row r="47" spans="1:5">
      <c r="A47" s="85" t="s">
        <v>138</v>
      </c>
      <c r="B47" s="353">
        <f t="shared" ref="B47:D47" si="4">SUM(B10,B19,B28,B37)</f>
        <v>15</v>
      </c>
      <c r="C47" s="353">
        <f t="shared" si="4"/>
        <v>18</v>
      </c>
      <c r="D47" s="353">
        <f t="shared" si="4"/>
        <v>30</v>
      </c>
      <c r="E47" s="259">
        <f t="shared" si="2"/>
        <v>21</v>
      </c>
    </row>
    <row r="48" spans="1:5">
      <c r="A48" s="32" t="s">
        <v>136</v>
      </c>
      <c r="B48" s="353">
        <f t="shared" ref="B48:D48" si="5">SUM(B11,B20,B29,B38)</f>
        <v>66</v>
      </c>
      <c r="C48" s="353">
        <f t="shared" si="5"/>
        <v>77</v>
      </c>
      <c r="D48" s="353">
        <f t="shared" si="5"/>
        <v>83</v>
      </c>
      <c r="E48" s="259">
        <f t="shared" si="2"/>
        <v>75.333333333333329</v>
      </c>
    </row>
    <row r="49" spans="1:5">
      <c r="A49" s="25"/>
      <c r="B49" s="304"/>
      <c r="C49" s="304"/>
      <c r="D49" s="304"/>
      <c r="E49" s="304"/>
    </row>
    <row r="50" spans="1:5">
      <c r="A50" s="27" t="s">
        <v>325</v>
      </c>
    </row>
    <row r="51" spans="1:5">
      <c r="A51" s="364" t="s">
        <v>180</v>
      </c>
      <c r="B51" s="688" t="s">
        <v>189</v>
      </c>
      <c r="C51" s="688"/>
      <c r="D51" s="688"/>
      <c r="E51" s="205"/>
    </row>
    <row r="52" spans="1:5">
      <c r="A52" s="365"/>
      <c r="B52" s="687" t="s">
        <v>179</v>
      </c>
      <c r="C52" s="687"/>
      <c r="D52" s="687"/>
      <c r="E52" s="50"/>
    </row>
    <row r="53" spans="1:5">
      <c r="A53" s="367" t="s">
        <v>178</v>
      </c>
      <c r="B53" s="45">
        <v>2014</v>
      </c>
      <c r="C53" s="45">
        <v>2015</v>
      </c>
      <c r="D53" s="45">
        <v>2016</v>
      </c>
      <c r="E53" s="50"/>
    </row>
    <row r="54" spans="1:5">
      <c r="A54" s="32" t="s">
        <v>134</v>
      </c>
      <c r="B54" s="317">
        <v>0</v>
      </c>
      <c r="C54" s="317">
        <v>0</v>
      </c>
      <c r="D54" s="317">
        <v>0</v>
      </c>
      <c r="E54" s="304"/>
    </row>
    <row r="55" spans="1:5">
      <c r="A55" s="195" t="s">
        <v>135</v>
      </c>
      <c r="B55" s="317"/>
      <c r="C55" s="317"/>
      <c r="D55" s="317"/>
      <c r="E55" s="304"/>
    </row>
    <row r="56" spans="1:5">
      <c r="A56" s="84" t="s">
        <v>137</v>
      </c>
      <c r="B56" s="317"/>
      <c r="C56" s="317"/>
      <c r="D56" s="317"/>
      <c r="E56" s="304"/>
    </row>
    <row r="57" spans="1:5">
      <c r="A57" s="85" t="s">
        <v>138</v>
      </c>
      <c r="B57" s="317"/>
      <c r="C57" s="317"/>
      <c r="D57" s="317"/>
      <c r="E57" s="304"/>
    </row>
    <row r="58" spans="1:5">
      <c r="A58" s="32" t="s">
        <v>136</v>
      </c>
      <c r="B58" s="317">
        <v>18</v>
      </c>
      <c r="C58" s="317">
        <v>12</v>
      </c>
      <c r="D58" s="317">
        <v>12</v>
      </c>
      <c r="E58" s="304"/>
    </row>
    <row r="60" spans="1:5">
      <c r="A60" s="364" t="s">
        <v>180</v>
      </c>
      <c r="B60" s="688" t="s">
        <v>183</v>
      </c>
      <c r="C60" s="688"/>
      <c r="D60" s="688"/>
      <c r="E60" s="205"/>
    </row>
    <row r="61" spans="1:5">
      <c r="A61" s="365"/>
      <c r="B61" s="687" t="s">
        <v>179</v>
      </c>
      <c r="C61" s="687"/>
      <c r="D61" s="687"/>
      <c r="E61" s="50"/>
    </row>
    <row r="62" spans="1:5">
      <c r="A62" s="367" t="s">
        <v>178</v>
      </c>
      <c r="B62" s="45">
        <v>2014</v>
      </c>
      <c r="C62" s="45">
        <v>2015</v>
      </c>
      <c r="D62" s="45">
        <v>2016</v>
      </c>
      <c r="E62" s="50"/>
    </row>
    <row r="63" spans="1:5">
      <c r="A63" s="32" t="s">
        <v>134</v>
      </c>
      <c r="B63" s="317">
        <v>0</v>
      </c>
      <c r="C63" s="317">
        <v>0</v>
      </c>
      <c r="D63" s="317">
        <v>0</v>
      </c>
      <c r="E63" s="304"/>
    </row>
    <row r="64" spans="1:5">
      <c r="A64" s="195" t="s">
        <v>135</v>
      </c>
      <c r="B64" s="317"/>
      <c r="C64" s="317"/>
      <c r="D64" s="317"/>
      <c r="E64" s="304"/>
    </row>
    <row r="65" spans="1:5">
      <c r="A65" s="84" t="s">
        <v>137</v>
      </c>
      <c r="B65" s="317"/>
      <c r="C65" s="317"/>
      <c r="D65" s="317"/>
      <c r="E65" s="304"/>
    </row>
    <row r="66" spans="1:5">
      <c r="A66" s="85" t="s">
        <v>138</v>
      </c>
      <c r="B66" s="317"/>
      <c r="C66" s="317"/>
      <c r="D66" s="317"/>
      <c r="E66" s="304"/>
    </row>
    <row r="67" spans="1:5">
      <c r="A67" s="32" t="s">
        <v>136</v>
      </c>
      <c r="B67" s="317">
        <v>20</v>
      </c>
      <c r="C67" s="317">
        <v>8</v>
      </c>
      <c r="D67" s="317">
        <v>6</v>
      </c>
      <c r="E67" s="304"/>
    </row>
    <row r="68" spans="1:5">
      <c r="A68" s="25"/>
      <c r="B68" s="352"/>
      <c r="C68" s="352"/>
      <c r="D68" s="352"/>
      <c r="E68" s="352"/>
    </row>
    <row r="69" spans="1:5" ht="28.15" customHeight="1">
      <c r="A69" s="364" t="s">
        <v>180</v>
      </c>
      <c r="B69" s="693" t="s">
        <v>188</v>
      </c>
      <c r="C69" s="694"/>
      <c r="D69" s="695"/>
      <c r="E69" s="206"/>
    </row>
    <row r="70" spans="1:5">
      <c r="A70" s="365"/>
      <c r="B70" s="687" t="s">
        <v>179</v>
      </c>
      <c r="C70" s="687"/>
      <c r="D70" s="687"/>
      <c r="E70" s="50"/>
    </row>
    <row r="71" spans="1:5">
      <c r="A71" s="367" t="s">
        <v>178</v>
      </c>
      <c r="B71" s="45">
        <v>2014</v>
      </c>
      <c r="C71" s="45">
        <v>2015</v>
      </c>
      <c r="D71" s="45">
        <v>2016</v>
      </c>
      <c r="E71" s="50"/>
    </row>
    <row r="72" spans="1:5">
      <c r="A72" s="32" t="s">
        <v>134</v>
      </c>
      <c r="B72" s="317">
        <v>0</v>
      </c>
      <c r="C72" s="317">
        <v>0</v>
      </c>
      <c r="D72" s="317">
        <v>0</v>
      </c>
      <c r="E72" s="304"/>
    </row>
    <row r="73" spans="1:5">
      <c r="A73" s="195" t="s">
        <v>135</v>
      </c>
      <c r="B73" s="317"/>
      <c r="C73" s="317"/>
      <c r="D73" s="317"/>
      <c r="E73" s="304"/>
    </row>
    <row r="74" spans="1:5">
      <c r="A74" s="84" t="s">
        <v>137</v>
      </c>
      <c r="B74" s="317"/>
      <c r="C74" s="317"/>
      <c r="D74" s="317"/>
      <c r="E74" s="304"/>
    </row>
    <row r="75" spans="1:5">
      <c r="A75" s="85" t="s">
        <v>138</v>
      </c>
      <c r="B75" s="317"/>
      <c r="C75" s="317"/>
      <c r="D75" s="317"/>
      <c r="E75" s="304"/>
    </row>
    <row r="76" spans="1:5">
      <c r="A76" s="32" t="s">
        <v>136</v>
      </c>
      <c r="B76" s="317">
        <v>2</v>
      </c>
      <c r="C76" s="317">
        <v>5</v>
      </c>
      <c r="D76" s="317">
        <v>0</v>
      </c>
      <c r="E76" s="304"/>
    </row>
    <row r="77" spans="1:5">
      <c r="A77" s="25"/>
      <c r="B77" s="352"/>
      <c r="C77" s="352"/>
      <c r="D77" s="352"/>
      <c r="E77" s="352"/>
    </row>
    <row r="78" spans="1:5">
      <c r="A78" s="364" t="s">
        <v>180</v>
      </c>
      <c r="B78" s="688" t="s">
        <v>326</v>
      </c>
      <c r="C78" s="688"/>
      <c r="D78" s="688"/>
      <c r="E78" s="352"/>
    </row>
    <row r="79" spans="1:5">
      <c r="A79" s="365"/>
      <c r="B79" s="687" t="s">
        <v>179</v>
      </c>
      <c r="C79" s="687"/>
      <c r="D79" s="687"/>
      <c r="E79" s="352"/>
    </row>
    <row r="80" spans="1:5">
      <c r="A80" s="367" t="s">
        <v>178</v>
      </c>
      <c r="B80" s="45">
        <v>2014</v>
      </c>
      <c r="C80" s="45">
        <v>2015</v>
      </c>
      <c r="D80" s="45">
        <v>2016</v>
      </c>
      <c r="E80" s="45" t="s">
        <v>192</v>
      </c>
    </row>
    <row r="81" spans="1:5">
      <c r="A81" s="32" t="s">
        <v>134</v>
      </c>
      <c r="B81" s="353">
        <f>SUM(B54,B63,B72)</f>
        <v>0</v>
      </c>
      <c r="C81" s="353">
        <f t="shared" ref="C81:D81" si="6">SUM(C54,C63,C72)</f>
        <v>0</v>
      </c>
      <c r="D81" s="353">
        <f t="shared" si="6"/>
        <v>0</v>
      </c>
      <c r="E81" s="259">
        <f>SUM(B81:D81)/3</f>
        <v>0</v>
      </c>
    </row>
    <row r="82" spans="1:5">
      <c r="A82" s="195" t="s">
        <v>135</v>
      </c>
      <c r="B82" s="353">
        <f t="shared" ref="B82:D82" si="7">SUM(B55,B64,B73)</f>
        <v>0</v>
      </c>
      <c r="C82" s="353">
        <f t="shared" si="7"/>
        <v>0</v>
      </c>
      <c r="D82" s="353">
        <f t="shared" si="7"/>
        <v>0</v>
      </c>
      <c r="E82" s="259">
        <f t="shared" ref="E82:E85" si="8">SUM(B82:D82)/3</f>
        <v>0</v>
      </c>
    </row>
    <row r="83" spans="1:5">
      <c r="A83" s="84" t="s">
        <v>137</v>
      </c>
      <c r="B83" s="353">
        <f t="shared" ref="B83:D83" si="9">SUM(B56,B65,B74)</f>
        <v>0</v>
      </c>
      <c r="C83" s="353">
        <f t="shared" si="9"/>
        <v>0</v>
      </c>
      <c r="D83" s="353">
        <f t="shared" si="9"/>
        <v>0</v>
      </c>
      <c r="E83" s="259">
        <f t="shared" si="8"/>
        <v>0</v>
      </c>
    </row>
    <row r="84" spans="1:5">
      <c r="A84" s="85" t="s">
        <v>138</v>
      </c>
      <c r="B84" s="353">
        <f t="shared" ref="B84:D84" si="10">SUM(B57,B66,B75)</f>
        <v>0</v>
      </c>
      <c r="C84" s="353">
        <f t="shared" si="10"/>
        <v>0</v>
      </c>
      <c r="D84" s="353">
        <f t="shared" si="10"/>
        <v>0</v>
      </c>
      <c r="E84" s="259">
        <f t="shared" si="8"/>
        <v>0</v>
      </c>
    </row>
    <row r="85" spans="1:5">
      <c r="A85" s="32" t="s">
        <v>136</v>
      </c>
      <c r="B85" s="353">
        <f t="shared" ref="B85:D85" si="11">SUM(B58,B67,B76)</f>
        <v>40</v>
      </c>
      <c r="C85" s="353">
        <f t="shared" si="11"/>
        <v>25</v>
      </c>
      <c r="D85" s="353">
        <f t="shared" si="11"/>
        <v>18</v>
      </c>
      <c r="E85" s="259">
        <f t="shared" si="8"/>
        <v>27.666666666666668</v>
      </c>
    </row>
    <row r="86" spans="1:5">
      <c r="A86" s="25"/>
      <c r="B86" s="352"/>
      <c r="C86" s="352"/>
      <c r="D86" s="352"/>
      <c r="E86" s="352"/>
    </row>
    <row r="87" spans="1:5">
      <c r="A87" s="27" t="s">
        <v>328</v>
      </c>
      <c r="B87" s="304"/>
      <c r="C87" s="304"/>
      <c r="D87" s="304"/>
      <c r="E87" s="304"/>
    </row>
    <row r="88" spans="1:5">
      <c r="A88" s="364" t="s">
        <v>180</v>
      </c>
      <c r="B88" s="688" t="s">
        <v>182</v>
      </c>
      <c r="C88" s="688"/>
      <c r="D88" s="688"/>
      <c r="E88" s="205"/>
    </row>
    <row r="89" spans="1:5">
      <c r="A89" s="365"/>
      <c r="B89" s="687" t="s">
        <v>179</v>
      </c>
      <c r="C89" s="687"/>
      <c r="D89" s="687"/>
      <c r="E89" s="50"/>
    </row>
    <row r="90" spans="1:5">
      <c r="A90" s="367" t="s">
        <v>178</v>
      </c>
      <c r="B90" s="45">
        <v>2014</v>
      </c>
      <c r="C90" s="45">
        <v>2015</v>
      </c>
      <c r="D90" s="45">
        <v>2016</v>
      </c>
      <c r="E90" s="50"/>
    </row>
    <row r="91" spans="1:5" ht="15" customHeight="1">
      <c r="A91" s="32" t="s">
        <v>134</v>
      </c>
      <c r="B91" s="317">
        <v>0</v>
      </c>
      <c r="C91" s="317">
        <v>0</v>
      </c>
      <c r="D91" s="317">
        <v>0</v>
      </c>
      <c r="E91" s="304"/>
    </row>
    <row r="92" spans="1:5">
      <c r="A92" s="195" t="s">
        <v>135</v>
      </c>
      <c r="B92" s="317">
        <v>1</v>
      </c>
      <c r="C92" s="317">
        <v>0</v>
      </c>
      <c r="D92" s="317">
        <v>0</v>
      </c>
      <c r="E92" s="304"/>
    </row>
    <row r="93" spans="1:5">
      <c r="A93" s="84" t="s">
        <v>137</v>
      </c>
      <c r="B93" s="317">
        <v>0</v>
      </c>
      <c r="C93" s="317">
        <v>1</v>
      </c>
      <c r="D93" s="317">
        <v>4</v>
      </c>
      <c r="E93" s="304"/>
    </row>
    <row r="94" spans="1:5">
      <c r="A94" s="85" t="s">
        <v>138</v>
      </c>
      <c r="B94" s="317">
        <v>5</v>
      </c>
      <c r="C94" s="317">
        <v>9</v>
      </c>
      <c r="D94" s="317">
        <v>5</v>
      </c>
      <c r="E94" s="304"/>
    </row>
    <row r="95" spans="1:5">
      <c r="A95" s="32" t="s">
        <v>136</v>
      </c>
      <c r="B95" s="317">
        <v>12</v>
      </c>
      <c r="C95" s="317">
        <v>13</v>
      </c>
      <c r="D95" s="317">
        <v>17</v>
      </c>
      <c r="E95" s="304"/>
    </row>
    <row r="96" spans="1:5">
      <c r="A96" s="25"/>
      <c r="B96" s="304"/>
      <c r="C96" s="304"/>
      <c r="D96" s="304"/>
      <c r="E96" s="304"/>
    </row>
    <row r="97" spans="1:5">
      <c r="A97" s="692" t="s">
        <v>180</v>
      </c>
      <c r="B97" s="696" t="s">
        <v>187</v>
      </c>
      <c r="C97" s="697"/>
      <c r="D97" s="698"/>
      <c r="E97" s="204"/>
    </row>
    <row r="98" spans="1:5">
      <c r="A98" s="692"/>
      <c r="B98" s="699"/>
      <c r="C98" s="700"/>
      <c r="D98" s="701"/>
      <c r="E98" s="204"/>
    </row>
    <row r="99" spans="1:5">
      <c r="A99" s="366"/>
      <c r="B99" s="687" t="s">
        <v>179</v>
      </c>
      <c r="C99" s="687"/>
      <c r="D99" s="687"/>
      <c r="E99" s="50"/>
    </row>
    <row r="100" spans="1:5" ht="14.45" customHeight="1">
      <c r="A100" s="367" t="s">
        <v>178</v>
      </c>
      <c r="B100" s="45">
        <v>2014</v>
      </c>
      <c r="C100" s="45">
        <v>2015</v>
      </c>
      <c r="D100" s="45">
        <v>2016</v>
      </c>
      <c r="E100" s="50"/>
    </row>
    <row r="101" spans="1:5">
      <c r="A101" s="32" t="s">
        <v>134</v>
      </c>
      <c r="B101" s="317">
        <v>0</v>
      </c>
      <c r="C101" s="317">
        <v>0</v>
      </c>
      <c r="D101" s="317">
        <v>0</v>
      </c>
      <c r="E101" s="304"/>
    </row>
    <row r="102" spans="1:5">
      <c r="A102" s="195" t="s">
        <v>135</v>
      </c>
      <c r="B102" s="317">
        <v>0</v>
      </c>
      <c r="C102" s="317">
        <v>0</v>
      </c>
      <c r="D102" s="317">
        <v>0</v>
      </c>
      <c r="E102" s="304"/>
    </row>
    <row r="103" spans="1:5">
      <c r="A103" s="84" t="s">
        <v>137</v>
      </c>
      <c r="B103" s="317">
        <v>1</v>
      </c>
      <c r="C103" s="317">
        <v>0</v>
      </c>
      <c r="D103" s="317">
        <v>0</v>
      </c>
      <c r="E103" s="304"/>
    </row>
    <row r="104" spans="1:5">
      <c r="A104" s="85" t="s">
        <v>138</v>
      </c>
      <c r="B104" s="317">
        <v>4</v>
      </c>
      <c r="C104" s="317">
        <v>1</v>
      </c>
      <c r="D104" s="317">
        <v>2</v>
      </c>
      <c r="E104" s="304"/>
    </row>
    <row r="105" spans="1:5">
      <c r="A105" s="32" t="s">
        <v>136</v>
      </c>
      <c r="B105" s="317">
        <v>3</v>
      </c>
      <c r="C105" s="317">
        <v>7</v>
      </c>
      <c r="D105" s="317">
        <v>5</v>
      </c>
      <c r="E105" s="304"/>
    </row>
    <row r="106" spans="1:5">
      <c r="A106" s="25"/>
      <c r="B106" s="352"/>
      <c r="C106" s="352"/>
      <c r="D106" s="352"/>
      <c r="E106" s="352"/>
    </row>
    <row r="107" spans="1:5">
      <c r="A107" s="364" t="s">
        <v>180</v>
      </c>
      <c r="B107" s="688" t="s">
        <v>327</v>
      </c>
      <c r="C107" s="688"/>
      <c r="D107" s="688"/>
      <c r="E107" s="352"/>
    </row>
    <row r="108" spans="1:5">
      <c r="A108" s="365"/>
      <c r="B108" s="687" t="s">
        <v>179</v>
      </c>
      <c r="C108" s="687"/>
      <c r="D108" s="687"/>
      <c r="E108" s="352"/>
    </row>
    <row r="109" spans="1:5">
      <c r="A109" s="367" t="s">
        <v>178</v>
      </c>
      <c r="B109" s="45">
        <v>2014</v>
      </c>
      <c r="C109" s="45">
        <v>2015</v>
      </c>
      <c r="D109" s="45">
        <v>2016</v>
      </c>
      <c r="E109" s="45" t="s">
        <v>192</v>
      </c>
    </row>
    <row r="110" spans="1:5">
      <c r="A110" s="32" t="s">
        <v>134</v>
      </c>
      <c r="B110" s="353">
        <f>SUM(B91,B101)</f>
        <v>0</v>
      </c>
      <c r="C110" s="353">
        <f t="shared" ref="C110:D110" si="12">SUM(C91,C101)</f>
        <v>0</v>
      </c>
      <c r="D110" s="353">
        <f t="shared" si="12"/>
        <v>0</v>
      </c>
      <c r="E110" s="259">
        <f>SUM(B110:D110)/3</f>
        <v>0</v>
      </c>
    </row>
    <row r="111" spans="1:5">
      <c r="A111" s="195" t="s">
        <v>135</v>
      </c>
      <c r="B111" s="353">
        <f t="shared" ref="B111:D111" si="13">SUM(B92,B102)</f>
        <v>1</v>
      </c>
      <c r="C111" s="353">
        <f t="shared" si="13"/>
        <v>0</v>
      </c>
      <c r="D111" s="353">
        <f t="shared" si="13"/>
        <v>0</v>
      </c>
      <c r="E111" s="259">
        <f t="shared" ref="E111:E114" si="14">SUM(B111:D111)/3</f>
        <v>0.33333333333333331</v>
      </c>
    </row>
    <row r="112" spans="1:5">
      <c r="A112" s="84" t="s">
        <v>137</v>
      </c>
      <c r="B112" s="353">
        <f t="shared" ref="B112:D112" si="15">SUM(B93,B103)</f>
        <v>1</v>
      </c>
      <c r="C112" s="353">
        <f t="shared" si="15"/>
        <v>1</v>
      </c>
      <c r="D112" s="353">
        <f t="shared" si="15"/>
        <v>4</v>
      </c>
      <c r="E112" s="259">
        <f t="shared" si="14"/>
        <v>2</v>
      </c>
    </row>
    <row r="113" spans="1:5">
      <c r="A113" s="85" t="s">
        <v>138</v>
      </c>
      <c r="B113" s="353">
        <f t="shared" ref="B113:D113" si="16">SUM(B94,B104)</f>
        <v>9</v>
      </c>
      <c r="C113" s="353">
        <f t="shared" si="16"/>
        <v>10</v>
      </c>
      <c r="D113" s="353">
        <f t="shared" si="16"/>
        <v>7</v>
      </c>
      <c r="E113" s="259">
        <f t="shared" si="14"/>
        <v>8.6666666666666661</v>
      </c>
    </row>
    <row r="114" spans="1:5">
      <c r="A114" s="32" t="s">
        <v>136</v>
      </c>
      <c r="B114" s="353">
        <f t="shared" ref="B114:D114" si="17">SUM(B95,B105)</f>
        <v>15</v>
      </c>
      <c r="C114" s="353">
        <f t="shared" si="17"/>
        <v>20</v>
      </c>
      <c r="D114" s="353">
        <f t="shared" si="17"/>
        <v>22</v>
      </c>
      <c r="E114" s="259">
        <f t="shared" si="14"/>
        <v>19</v>
      </c>
    </row>
    <row r="115" spans="1:5">
      <c r="A115" s="25"/>
      <c r="B115" s="352"/>
      <c r="C115" s="352"/>
      <c r="D115" s="352"/>
      <c r="E115" s="352"/>
    </row>
    <row r="116" spans="1:5">
      <c r="A116" s="27" t="s">
        <v>329</v>
      </c>
    </row>
    <row r="117" spans="1:5">
      <c r="A117" s="364" t="s">
        <v>180</v>
      </c>
      <c r="B117" s="688" t="s">
        <v>181</v>
      </c>
      <c r="C117" s="688"/>
      <c r="D117" s="688"/>
      <c r="E117" s="205"/>
    </row>
    <row r="118" spans="1:5">
      <c r="A118" s="365"/>
      <c r="B118" s="687" t="s">
        <v>179</v>
      </c>
      <c r="C118" s="687"/>
      <c r="D118" s="687"/>
      <c r="E118" s="50"/>
    </row>
    <row r="119" spans="1:5">
      <c r="A119" s="367" t="s">
        <v>178</v>
      </c>
      <c r="B119" s="45">
        <v>2014</v>
      </c>
      <c r="C119" s="45">
        <v>2015</v>
      </c>
      <c r="D119" s="45">
        <v>2016</v>
      </c>
      <c r="E119" s="50"/>
    </row>
    <row r="120" spans="1:5">
      <c r="A120" s="32" t="s">
        <v>134</v>
      </c>
      <c r="B120" s="317">
        <v>0</v>
      </c>
      <c r="C120" s="317">
        <v>0</v>
      </c>
      <c r="D120" s="317">
        <v>0</v>
      </c>
      <c r="E120" s="304"/>
    </row>
    <row r="121" spans="1:5">
      <c r="A121" s="195" t="s">
        <v>135</v>
      </c>
      <c r="B121" s="317">
        <v>1</v>
      </c>
      <c r="C121" s="317">
        <v>0</v>
      </c>
      <c r="D121" s="317">
        <v>0</v>
      </c>
      <c r="E121" s="304"/>
    </row>
    <row r="122" spans="1:5">
      <c r="A122" s="84" t="s">
        <v>137</v>
      </c>
      <c r="B122" s="317">
        <v>1</v>
      </c>
      <c r="C122" s="317">
        <v>1</v>
      </c>
      <c r="D122" s="317">
        <v>3</v>
      </c>
      <c r="E122" s="304"/>
    </row>
    <row r="123" spans="1:5">
      <c r="A123" s="85" t="s">
        <v>138</v>
      </c>
      <c r="B123" s="317">
        <v>8</v>
      </c>
      <c r="C123" s="317">
        <v>3</v>
      </c>
      <c r="D123" s="317">
        <v>9</v>
      </c>
      <c r="E123" s="304"/>
    </row>
    <row r="124" spans="1:5">
      <c r="A124" s="32" t="s">
        <v>136</v>
      </c>
      <c r="B124" s="317">
        <v>12</v>
      </c>
      <c r="C124" s="317">
        <v>12</v>
      </c>
      <c r="D124" s="317">
        <v>12</v>
      </c>
      <c r="E124" s="304"/>
    </row>
    <row r="126" spans="1:5">
      <c r="A126" s="364" t="s">
        <v>180</v>
      </c>
      <c r="B126" s="688" t="s">
        <v>186</v>
      </c>
      <c r="C126" s="688"/>
      <c r="D126" s="688"/>
      <c r="E126" s="205"/>
    </row>
    <row r="127" spans="1:5">
      <c r="A127" s="365"/>
      <c r="B127" s="687" t="s">
        <v>179</v>
      </c>
      <c r="C127" s="687"/>
      <c r="D127" s="687"/>
      <c r="E127" s="50"/>
    </row>
    <row r="128" spans="1:5">
      <c r="A128" s="367" t="s">
        <v>178</v>
      </c>
      <c r="B128" s="45">
        <v>2014</v>
      </c>
      <c r="C128" s="45">
        <v>2015</v>
      </c>
      <c r="D128" s="45">
        <v>2016</v>
      </c>
      <c r="E128" s="50"/>
    </row>
    <row r="129" spans="1:5">
      <c r="A129" s="32" t="s">
        <v>134</v>
      </c>
      <c r="B129" s="317">
        <v>0</v>
      </c>
      <c r="C129" s="317">
        <v>0</v>
      </c>
      <c r="D129" s="317">
        <v>0</v>
      </c>
      <c r="E129" s="304"/>
    </row>
    <row r="130" spans="1:5">
      <c r="A130" s="195" t="s">
        <v>135</v>
      </c>
      <c r="B130" s="317">
        <v>0</v>
      </c>
      <c r="C130" s="317">
        <v>1</v>
      </c>
      <c r="D130" s="317">
        <v>0</v>
      </c>
      <c r="E130" s="304"/>
    </row>
    <row r="131" spans="1:5">
      <c r="A131" s="84" t="s">
        <v>137</v>
      </c>
      <c r="B131" s="317">
        <v>2</v>
      </c>
      <c r="C131" s="317">
        <v>1</v>
      </c>
      <c r="D131" s="317">
        <v>2</v>
      </c>
      <c r="E131" s="304"/>
    </row>
    <row r="132" spans="1:5">
      <c r="A132" s="85" t="s">
        <v>138</v>
      </c>
      <c r="B132" s="317">
        <v>4</v>
      </c>
      <c r="C132" s="317">
        <v>4</v>
      </c>
      <c r="D132" s="317">
        <v>8</v>
      </c>
      <c r="E132" s="304"/>
    </row>
    <row r="133" spans="1:5">
      <c r="A133" s="32" t="s">
        <v>136</v>
      </c>
      <c r="B133" s="317">
        <v>11</v>
      </c>
      <c r="C133" s="317">
        <v>14</v>
      </c>
      <c r="D133" s="317">
        <v>21</v>
      </c>
      <c r="E133" s="304"/>
    </row>
    <row r="134" spans="1:5">
      <c r="A134" s="25"/>
      <c r="B134" s="352"/>
      <c r="C134" s="352"/>
      <c r="D134" s="352"/>
      <c r="E134" s="352"/>
    </row>
    <row r="135" spans="1:5">
      <c r="A135" s="364" t="s">
        <v>180</v>
      </c>
      <c r="B135" s="688" t="s">
        <v>330</v>
      </c>
      <c r="C135" s="688"/>
      <c r="D135" s="688"/>
      <c r="E135" s="304"/>
    </row>
    <row r="136" spans="1:5">
      <c r="A136" s="365"/>
      <c r="B136" s="687" t="s">
        <v>179</v>
      </c>
      <c r="C136" s="687"/>
      <c r="D136" s="687"/>
      <c r="E136" s="304"/>
    </row>
    <row r="137" spans="1:5">
      <c r="A137" s="367" t="s">
        <v>178</v>
      </c>
      <c r="B137" s="45">
        <v>2014</v>
      </c>
      <c r="C137" s="45">
        <v>2015</v>
      </c>
      <c r="D137" s="45">
        <v>2016</v>
      </c>
      <c r="E137" s="45" t="s">
        <v>192</v>
      </c>
    </row>
    <row r="138" spans="1:5">
      <c r="A138" s="32" t="s">
        <v>134</v>
      </c>
      <c r="B138" s="317">
        <f>SUM(B120,B129)</f>
        <v>0</v>
      </c>
      <c r="C138" s="353">
        <f t="shared" ref="C138:D138" si="18">SUM(C120,C129)</f>
        <v>0</v>
      </c>
      <c r="D138" s="353">
        <f t="shared" si="18"/>
        <v>0</v>
      </c>
      <c r="E138" s="259">
        <f>SUM(B138:D138)/3</f>
        <v>0</v>
      </c>
    </row>
    <row r="139" spans="1:5">
      <c r="A139" s="195" t="s">
        <v>135</v>
      </c>
      <c r="B139" s="353">
        <f t="shared" ref="B139:D139" si="19">SUM(B121,B130)</f>
        <v>1</v>
      </c>
      <c r="C139" s="353">
        <f t="shared" si="19"/>
        <v>1</v>
      </c>
      <c r="D139" s="353">
        <f t="shared" si="19"/>
        <v>0</v>
      </c>
      <c r="E139" s="259">
        <f t="shared" ref="E139:E142" si="20">SUM(B139:D139)/3</f>
        <v>0.66666666666666663</v>
      </c>
    </row>
    <row r="140" spans="1:5">
      <c r="A140" s="84" t="s">
        <v>137</v>
      </c>
      <c r="B140" s="353">
        <f t="shared" ref="B140:D140" si="21">SUM(B122,B131)</f>
        <v>3</v>
      </c>
      <c r="C140" s="353">
        <f t="shared" si="21"/>
        <v>2</v>
      </c>
      <c r="D140" s="353">
        <f t="shared" si="21"/>
        <v>5</v>
      </c>
      <c r="E140" s="259">
        <f t="shared" si="20"/>
        <v>3.3333333333333335</v>
      </c>
    </row>
    <row r="141" spans="1:5">
      <c r="A141" s="85" t="s">
        <v>138</v>
      </c>
      <c r="B141" s="353">
        <f t="shared" ref="B141:D141" si="22">SUM(B123,B132)</f>
        <v>12</v>
      </c>
      <c r="C141" s="353">
        <f t="shared" si="22"/>
        <v>7</v>
      </c>
      <c r="D141" s="353">
        <f t="shared" si="22"/>
        <v>17</v>
      </c>
      <c r="E141" s="259">
        <f t="shared" si="20"/>
        <v>12</v>
      </c>
    </row>
    <row r="142" spans="1:5">
      <c r="A142" s="32" t="s">
        <v>136</v>
      </c>
      <c r="B142" s="353">
        <f t="shared" ref="B142:D142" si="23">SUM(B124,B133)</f>
        <v>23</v>
      </c>
      <c r="C142" s="353">
        <f t="shared" si="23"/>
        <v>26</v>
      </c>
      <c r="D142" s="353">
        <f t="shared" si="23"/>
        <v>33</v>
      </c>
      <c r="E142" s="259">
        <f t="shared" si="20"/>
        <v>27.333333333333332</v>
      </c>
    </row>
    <row r="143" spans="1:5">
      <c r="A143" s="25"/>
      <c r="B143" s="304"/>
      <c r="C143" s="304"/>
      <c r="D143" s="304"/>
      <c r="E143" s="304"/>
    </row>
    <row r="144" spans="1:5">
      <c r="A144" s="691" t="s">
        <v>123</v>
      </c>
      <c r="B144" s="691"/>
      <c r="C144" s="691"/>
      <c r="D144" s="691"/>
      <c r="E144" s="691"/>
    </row>
    <row r="145" spans="1:5">
      <c r="A145" s="316"/>
      <c r="B145" s="689" t="s">
        <v>179</v>
      </c>
      <c r="C145" s="689"/>
      <c r="D145" s="689"/>
      <c r="E145" s="690" t="s">
        <v>192</v>
      </c>
    </row>
    <row r="146" spans="1:5">
      <c r="A146" s="368" t="s">
        <v>178</v>
      </c>
      <c r="B146" s="318">
        <v>2014</v>
      </c>
      <c r="C146" s="318">
        <v>2015</v>
      </c>
      <c r="D146" s="318">
        <v>2016</v>
      </c>
      <c r="E146" s="687"/>
    </row>
    <row r="147" spans="1:5">
      <c r="A147" s="32" t="s">
        <v>134</v>
      </c>
      <c r="B147" s="317">
        <f>SUM(B44,B81,B110,B138)</f>
        <v>0</v>
      </c>
      <c r="C147" s="353">
        <f t="shared" ref="C147:D147" si="24">SUM(C44,C81,C110,C138)</f>
        <v>0</v>
      </c>
      <c r="D147" s="353">
        <f t="shared" si="24"/>
        <v>1</v>
      </c>
      <c r="E147" s="259">
        <f>SUM(B147:D147)/3</f>
        <v>0.33333333333333331</v>
      </c>
    </row>
    <row r="148" spans="1:5">
      <c r="A148" s="195" t="s">
        <v>135</v>
      </c>
      <c r="B148" s="353">
        <f t="shared" ref="B148:D148" si="25">SUM(B45,B82,B111,B139)</f>
        <v>2</v>
      </c>
      <c r="C148" s="353">
        <f t="shared" si="25"/>
        <v>3</v>
      </c>
      <c r="D148" s="353">
        <f t="shared" si="25"/>
        <v>1</v>
      </c>
      <c r="E148" s="259">
        <f>SUM(B148:D148)/3</f>
        <v>2</v>
      </c>
    </row>
    <row r="149" spans="1:5">
      <c r="A149" s="84" t="s">
        <v>137</v>
      </c>
      <c r="B149" s="353">
        <f t="shared" ref="B149:D149" si="26">SUM(B46,B83,B112,B140)</f>
        <v>10</v>
      </c>
      <c r="C149" s="353">
        <f t="shared" si="26"/>
        <v>6</v>
      </c>
      <c r="D149" s="353">
        <f t="shared" si="26"/>
        <v>15</v>
      </c>
      <c r="E149" s="259">
        <f>SUM(B149:D149)/3</f>
        <v>10.333333333333334</v>
      </c>
    </row>
    <row r="150" spans="1:5">
      <c r="A150" s="85" t="s">
        <v>138</v>
      </c>
      <c r="B150" s="353">
        <f t="shared" ref="B150:D150" si="27">SUM(B47,B84,B113,B141)</f>
        <v>36</v>
      </c>
      <c r="C150" s="353">
        <f t="shared" si="27"/>
        <v>35</v>
      </c>
      <c r="D150" s="353">
        <f t="shared" si="27"/>
        <v>54</v>
      </c>
      <c r="E150" s="259">
        <f>SUM(B150:D150)/3</f>
        <v>41.666666666666664</v>
      </c>
    </row>
    <row r="151" spans="1:5">
      <c r="A151" s="32" t="s">
        <v>136</v>
      </c>
      <c r="B151" s="353">
        <f t="shared" ref="B151:D151" si="28">SUM(B48,B85,B114,B142)</f>
        <v>144</v>
      </c>
      <c r="C151" s="353">
        <f t="shared" si="28"/>
        <v>148</v>
      </c>
      <c r="D151" s="353">
        <f t="shared" si="28"/>
        <v>156</v>
      </c>
      <c r="E151" s="259">
        <f>SUM(B151:D151)/3</f>
        <v>149.33333333333334</v>
      </c>
    </row>
    <row r="152" spans="1:5" ht="14.25" customHeight="1"/>
    <row r="153" spans="1:5" ht="14.25" customHeight="1"/>
  </sheetData>
  <mergeCells count="34">
    <mergeCell ref="B41:D41"/>
    <mergeCell ref="B42:D42"/>
    <mergeCell ref="B135:D135"/>
    <mergeCell ref="B60:D60"/>
    <mergeCell ref="B61:D61"/>
    <mergeCell ref="B126:D126"/>
    <mergeCell ref="B127:D127"/>
    <mergeCell ref="B117:D117"/>
    <mergeCell ref="B118:D118"/>
    <mergeCell ref="B89:D89"/>
    <mergeCell ref="B145:D145"/>
    <mergeCell ref="E145:E146"/>
    <mergeCell ref="B51:D51"/>
    <mergeCell ref="B52:D52"/>
    <mergeCell ref="A144:E144"/>
    <mergeCell ref="B107:D107"/>
    <mergeCell ref="B108:D108"/>
    <mergeCell ref="A97:A98"/>
    <mergeCell ref="B70:D70"/>
    <mergeCell ref="B88:D88"/>
    <mergeCell ref="B69:D69"/>
    <mergeCell ref="B78:D78"/>
    <mergeCell ref="B79:D79"/>
    <mergeCell ref="B99:D99"/>
    <mergeCell ref="B136:D136"/>
    <mergeCell ref="B97:D98"/>
    <mergeCell ref="B4:D4"/>
    <mergeCell ref="B5:D5"/>
    <mergeCell ref="B31:D31"/>
    <mergeCell ref="B32:D32"/>
    <mergeCell ref="B13:D13"/>
    <mergeCell ref="B14:D14"/>
    <mergeCell ref="B22:D22"/>
    <mergeCell ref="B23:D23"/>
  </mergeCells>
  <pageMargins left="0.7" right="0.7" top="0.75" bottom="0.75" header="0.3" footer="0.3"/>
  <pageSetup paperSize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2:X110"/>
  <sheetViews>
    <sheetView view="pageBreakPreview" zoomScale="60" zoomScaleNormal="100" workbookViewId="0">
      <selection activeCell="M90" sqref="M90"/>
    </sheetView>
  </sheetViews>
  <sheetFormatPr defaultRowHeight="15"/>
  <cols>
    <col min="4" max="4" width="15.42578125" customWidth="1"/>
    <col min="5" max="8" width="13.7109375" customWidth="1"/>
    <col min="9" max="9" width="15.28515625" customWidth="1"/>
    <col min="10" max="16" width="13.7109375" customWidth="1"/>
  </cols>
  <sheetData>
    <row r="2" spans="2:24" ht="17.25">
      <c r="B2" s="421" t="s">
        <v>439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</row>
    <row r="3" spans="2:24" s="416" customFormat="1">
      <c r="B3" s="421"/>
    </row>
    <row r="4" spans="2:24">
      <c r="B4" s="420" t="s">
        <v>445</v>
      </c>
    </row>
    <row r="6" spans="2:24" ht="60.75" thickBot="1">
      <c r="B6" s="431" t="s">
        <v>0</v>
      </c>
      <c r="C6" s="455" t="s">
        <v>415</v>
      </c>
      <c r="D6" s="456" t="s">
        <v>443</v>
      </c>
      <c r="E6" s="456" t="s">
        <v>441</v>
      </c>
      <c r="F6" s="456" t="s">
        <v>442</v>
      </c>
    </row>
    <row r="7" spans="2:24">
      <c r="B7" s="423">
        <v>2020</v>
      </c>
      <c r="C7" s="417">
        <v>0</v>
      </c>
      <c r="D7" s="457">
        <f t="shared" ref="D7:D27" si="0">SUM(N36,I62,I88)</f>
        <v>0</v>
      </c>
      <c r="E7" s="458">
        <f>D7*0.02</f>
        <v>0</v>
      </c>
      <c r="F7" s="458">
        <f>D7*0.01</f>
        <v>0</v>
      </c>
    </row>
    <row r="8" spans="2:24">
      <c r="B8" s="418">
        <v>2021</v>
      </c>
      <c r="C8" s="418">
        <v>1</v>
      </c>
      <c r="D8" s="459">
        <f t="shared" si="0"/>
        <v>0</v>
      </c>
      <c r="E8" s="460">
        <f t="shared" ref="E8:E27" si="1">D8*0.02</f>
        <v>0</v>
      </c>
      <c r="F8" s="460">
        <f t="shared" ref="F8:F27" si="2">D8*0.01</f>
        <v>0</v>
      </c>
    </row>
    <row r="9" spans="2:24">
      <c r="B9" s="418">
        <v>2022</v>
      </c>
      <c r="C9" s="418">
        <v>2</v>
      </c>
      <c r="D9" s="459">
        <f t="shared" si="0"/>
        <v>0</v>
      </c>
      <c r="E9" s="460">
        <f t="shared" si="1"/>
        <v>0</v>
      </c>
      <c r="F9" s="460">
        <f t="shared" si="2"/>
        <v>0</v>
      </c>
    </row>
    <row r="10" spans="2:24">
      <c r="B10" s="418">
        <v>2023</v>
      </c>
      <c r="C10" s="418">
        <v>3</v>
      </c>
      <c r="D10" s="459">
        <f t="shared" si="0"/>
        <v>0</v>
      </c>
      <c r="E10" s="460">
        <f t="shared" si="1"/>
        <v>0</v>
      </c>
      <c r="F10" s="460">
        <f t="shared" si="2"/>
        <v>0</v>
      </c>
    </row>
    <row r="11" spans="2:24">
      <c r="B11" s="418">
        <v>2024</v>
      </c>
      <c r="C11" s="418">
        <v>4</v>
      </c>
      <c r="D11" s="459">
        <f t="shared" si="0"/>
        <v>1297541.35306209</v>
      </c>
      <c r="E11" s="460">
        <f t="shared" si="1"/>
        <v>25950.827061241802</v>
      </c>
      <c r="F11" s="460">
        <f t="shared" si="2"/>
        <v>12975.413530620901</v>
      </c>
    </row>
    <row r="12" spans="2:24">
      <c r="B12" s="418">
        <v>2025</v>
      </c>
      <c r="C12" s="418">
        <v>5</v>
      </c>
      <c r="D12" s="459">
        <f t="shared" si="0"/>
        <v>5397458.80209905</v>
      </c>
      <c r="E12" s="460">
        <f t="shared" si="1"/>
        <v>107949.176041981</v>
      </c>
      <c r="F12" s="460">
        <f t="shared" si="2"/>
        <v>53974.588020990501</v>
      </c>
    </row>
    <row r="13" spans="2:24">
      <c r="B13" s="418">
        <v>2026</v>
      </c>
      <c r="C13" s="418">
        <v>6</v>
      </c>
      <c r="D13" s="459">
        <f t="shared" si="0"/>
        <v>5478420.6841305355</v>
      </c>
      <c r="E13" s="460">
        <f t="shared" si="1"/>
        <v>109568.41368261071</v>
      </c>
      <c r="F13" s="460">
        <f t="shared" si="2"/>
        <v>54784.206841305357</v>
      </c>
    </row>
    <row r="14" spans="2:24">
      <c r="B14" s="418">
        <v>2027</v>
      </c>
      <c r="C14" s="418">
        <v>7</v>
      </c>
      <c r="D14" s="459">
        <f t="shared" si="0"/>
        <v>5560596.9943924919</v>
      </c>
      <c r="E14" s="460">
        <f t="shared" si="1"/>
        <v>111211.93988784985</v>
      </c>
      <c r="F14" s="460">
        <f t="shared" si="2"/>
        <v>55605.969943924923</v>
      </c>
    </row>
    <row r="15" spans="2:24">
      <c r="B15" s="418">
        <v>2028</v>
      </c>
      <c r="C15" s="418">
        <v>8</v>
      </c>
      <c r="D15" s="459">
        <f t="shared" si="0"/>
        <v>5644005.9493083786</v>
      </c>
      <c r="E15" s="460">
        <f t="shared" si="1"/>
        <v>112880.11898616758</v>
      </c>
      <c r="F15" s="460">
        <f t="shared" si="2"/>
        <v>56440.059493083791</v>
      </c>
    </row>
    <row r="16" spans="2:24">
      <c r="B16" s="418">
        <v>2029</v>
      </c>
      <c r="C16" s="418">
        <v>9</v>
      </c>
      <c r="D16" s="459">
        <f t="shared" si="0"/>
        <v>17570856.862988707</v>
      </c>
      <c r="E16" s="460">
        <f t="shared" si="1"/>
        <v>351417.13725977414</v>
      </c>
      <c r="F16" s="460">
        <f t="shared" si="2"/>
        <v>175708.56862988707</v>
      </c>
    </row>
    <row r="17" spans="2:6">
      <c r="B17" s="418">
        <v>2030</v>
      </c>
      <c r="C17" s="418">
        <v>10</v>
      </c>
      <c r="D17" s="459">
        <f t="shared" si="0"/>
        <v>17834419.715933535</v>
      </c>
      <c r="E17" s="460">
        <f t="shared" si="1"/>
        <v>356688.39431867073</v>
      </c>
      <c r="F17" s="460">
        <f t="shared" si="2"/>
        <v>178344.19715933537</v>
      </c>
    </row>
    <row r="18" spans="2:6">
      <c r="B18" s="418">
        <v>2031</v>
      </c>
      <c r="C18" s="418">
        <v>11</v>
      </c>
      <c r="D18" s="459">
        <f t="shared" si="0"/>
        <v>18101936.011672538</v>
      </c>
      <c r="E18" s="460">
        <f t="shared" si="1"/>
        <v>362038.72023345076</v>
      </c>
      <c r="F18" s="460">
        <f t="shared" si="2"/>
        <v>181019.36011672538</v>
      </c>
    </row>
    <row r="19" spans="2:6">
      <c r="B19" s="418">
        <v>2032</v>
      </c>
      <c r="C19" s="418">
        <v>12</v>
      </c>
      <c r="D19" s="459">
        <f t="shared" si="0"/>
        <v>18373465.051847618</v>
      </c>
      <c r="E19" s="460">
        <f t="shared" si="1"/>
        <v>367469.30103695235</v>
      </c>
      <c r="F19" s="460">
        <f t="shared" si="2"/>
        <v>183734.65051847618</v>
      </c>
    </row>
    <row r="20" spans="2:6">
      <c r="B20" s="418">
        <v>2033</v>
      </c>
      <c r="C20" s="418">
        <v>13</v>
      </c>
      <c r="D20" s="459">
        <f t="shared" si="0"/>
        <v>18649067.027625334</v>
      </c>
      <c r="E20" s="460">
        <f t="shared" si="1"/>
        <v>372981.34055250668</v>
      </c>
      <c r="F20" s="460">
        <f t="shared" si="2"/>
        <v>186490.67027625334</v>
      </c>
    </row>
    <row r="21" spans="2:6">
      <c r="B21" s="418">
        <v>2034</v>
      </c>
      <c r="C21" s="418">
        <v>14</v>
      </c>
      <c r="D21" s="459">
        <f t="shared" si="0"/>
        <v>18928803.033039708</v>
      </c>
      <c r="E21" s="460">
        <f t="shared" si="1"/>
        <v>378576.06066079414</v>
      </c>
      <c r="F21" s="460">
        <f t="shared" si="2"/>
        <v>189288.03033039707</v>
      </c>
    </row>
    <row r="22" spans="2:6">
      <c r="B22" s="418">
        <v>2035</v>
      </c>
      <c r="C22" s="418">
        <v>15</v>
      </c>
      <c r="D22" s="459">
        <f t="shared" si="0"/>
        <v>19212735.078535303</v>
      </c>
      <c r="E22" s="460">
        <f t="shared" si="1"/>
        <v>384254.70157070609</v>
      </c>
      <c r="F22" s="460">
        <f t="shared" si="2"/>
        <v>192127.35078535305</v>
      </c>
    </row>
    <row r="23" spans="2:6">
      <c r="B23" s="418">
        <v>2036</v>
      </c>
      <c r="C23" s="418">
        <v>16</v>
      </c>
      <c r="D23" s="459">
        <f t="shared" si="0"/>
        <v>19500926.104713328</v>
      </c>
      <c r="E23" s="460">
        <f t="shared" si="1"/>
        <v>390018.52209426655</v>
      </c>
      <c r="F23" s="460">
        <f t="shared" si="2"/>
        <v>195009.26104713327</v>
      </c>
    </row>
    <row r="24" spans="2:6">
      <c r="B24" s="418">
        <v>2037</v>
      </c>
      <c r="C24" s="418">
        <v>17</v>
      </c>
      <c r="D24" s="459">
        <f t="shared" si="0"/>
        <v>19793439.996284027</v>
      </c>
      <c r="E24" s="460">
        <f t="shared" si="1"/>
        <v>395868.79992568056</v>
      </c>
      <c r="F24" s="460">
        <f t="shared" si="2"/>
        <v>197934.39996284028</v>
      </c>
    </row>
    <row r="25" spans="2:6">
      <c r="B25" s="418">
        <v>2038</v>
      </c>
      <c r="C25" s="418">
        <v>18</v>
      </c>
      <c r="D25" s="459">
        <f t="shared" si="0"/>
        <v>20090341.596228287</v>
      </c>
      <c r="E25" s="460">
        <f t="shared" si="1"/>
        <v>401806.83192456572</v>
      </c>
      <c r="F25" s="460">
        <f t="shared" si="2"/>
        <v>200903.41596228286</v>
      </c>
    </row>
    <row r="26" spans="2:6">
      <c r="B26" s="418">
        <v>2039</v>
      </c>
      <c r="C26" s="418">
        <v>19</v>
      </c>
      <c r="D26" s="459">
        <f t="shared" si="0"/>
        <v>20391696.720171709</v>
      </c>
      <c r="E26" s="460">
        <f t="shared" si="1"/>
        <v>407833.93440343416</v>
      </c>
      <c r="F26" s="460">
        <f t="shared" si="2"/>
        <v>203916.96720171708</v>
      </c>
    </row>
    <row r="27" spans="2:6" ht="15.75" thickBot="1">
      <c r="B27" s="418">
        <v>2040</v>
      </c>
      <c r="C27" s="419">
        <v>20</v>
      </c>
      <c r="D27" s="461">
        <f t="shared" si="0"/>
        <v>20697572.170974273</v>
      </c>
      <c r="E27" s="462">
        <f t="shared" si="1"/>
        <v>413951.44341948547</v>
      </c>
      <c r="F27" s="462">
        <f t="shared" si="2"/>
        <v>206975.72170974273</v>
      </c>
    </row>
    <row r="28" spans="2:6" ht="15.75" thickBot="1">
      <c r="B28" s="702" t="s">
        <v>444</v>
      </c>
      <c r="C28" s="702"/>
      <c r="D28" s="463">
        <f>SUM(D7:D27)</f>
        <v>252523283.15300691</v>
      </c>
      <c r="E28" s="467">
        <f>SUM(E7:E27)</f>
        <v>5050465.6630601389</v>
      </c>
      <c r="F28" s="465">
        <f>SUM(F7:F27)</f>
        <v>2525232.8315300695</v>
      </c>
    </row>
    <row r="29" spans="2:6" ht="15.75" thickBot="1">
      <c r="B29" s="702" t="s">
        <v>192</v>
      </c>
      <c r="C29" s="702"/>
      <c r="D29" s="464">
        <f>AVERAGE(D7:D27)</f>
        <v>12024918.245381281</v>
      </c>
      <c r="E29" s="468">
        <f>AVERAGE(E7:E27)</f>
        <v>240498.36490762566</v>
      </c>
      <c r="F29" s="466">
        <f>AVERAGE(F7:F27)</f>
        <v>120249.18245381283</v>
      </c>
    </row>
    <row r="31" spans="2:6" s="416" customFormat="1">
      <c r="B31" s="413" t="s">
        <v>24</v>
      </c>
      <c r="C31" t="s">
        <v>440</v>
      </c>
    </row>
    <row r="33" spans="2:24">
      <c r="B33" s="703" t="s">
        <v>413</v>
      </c>
      <c r="C33" s="703"/>
      <c r="D33" s="703"/>
      <c r="E33" s="703"/>
      <c r="F33" s="703"/>
      <c r="G33" s="703"/>
      <c r="H33" s="703"/>
      <c r="I33" s="703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</row>
    <row r="34" spans="2:24">
      <c r="B34" s="703" t="s">
        <v>414</v>
      </c>
      <c r="C34" s="703"/>
      <c r="D34" s="703"/>
      <c r="E34" s="703"/>
      <c r="F34" s="703"/>
      <c r="G34" s="703"/>
      <c r="H34" s="703"/>
      <c r="I34" s="703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</row>
    <row r="35" spans="2:24" ht="105.75" thickBot="1">
      <c r="B35" s="431" t="s">
        <v>0</v>
      </c>
      <c r="C35" s="431" t="s">
        <v>415</v>
      </c>
      <c r="D35" s="431" t="s">
        <v>416</v>
      </c>
      <c r="E35" s="431" t="s">
        <v>417</v>
      </c>
      <c r="F35" s="431" t="s">
        <v>418</v>
      </c>
      <c r="G35" s="431" t="s">
        <v>419</v>
      </c>
      <c r="H35" s="431" t="s">
        <v>420</v>
      </c>
      <c r="I35" s="431" t="s">
        <v>421</v>
      </c>
      <c r="J35" s="431" t="s">
        <v>422</v>
      </c>
      <c r="K35" s="431" t="s">
        <v>418</v>
      </c>
      <c r="L35" s="431" t="s">
        <v>419</v>
      </c>
      <c r="M35" s="431" t="s">
        <v>423</v>
      </c>
      <c r="N35" s="441" t="s">
        <v>424</v>
      </c>
      <c r="O35" s="431" t="s">
        <v>425</v>
      </c>
      <c r="P35" s="431" t="s">
        <v>426</v>
      </c>
      <c r="Q35" s="416"/>
      <c r="R35" s="416"/>
      <c r="S35" s="416"/>
      <c r="T35" s="416"/>
      <c r="U35" s="416"/>
      <c r="V35" s="416"/>
      <c r="W35" s="416"/>
      <c r="X35" s="422"/>
    </row>
    <row r="36" spans="2:24">
      <c r="B36" s="423">
        <v>2020</v>
      </c>
      <c r="C36" s="430">
        <v>0</v>
      </c>
      <c r="D36" s="436"/>
      <c r="E36" s="434"/>
      <c r="F36" s="432"/>
      <c r="G36" s="442"/>
      <c r="H36" s="442"/>
      <c r="I36" s="442"/>
      <c r="J36" s="442"/>
      <c r="K36" s="442"/>
      <c r="L36" s="442"/>
      <c r="M36" s="442"/>
      <c r="N36" s="444"/>
      <c r="O36" s="445"/>
      <c r="P36" s="445"/>
      <c r="Q36" s="416"/>
      <c r="R36" s="416"/>
      <c r="S36" s="416"/>
      <c r="T36" s="416"/>
      <c r="U36" s="416"/>
      <c r="V36" s="416"/>
      <c r="W36" s="416"/>
      <c r="X36" s="422"/>
    </row>
    <row r="37" spans="2:24">
      <c r="B37" s="418">
        <v>2021</v>
      </c>
      <c r="C37" s="425">
        <v>1</v>
      </c>
      <c r="D37" s="437"/>
      <c r="E37" s="435">
        <v>37384</v>
      </c>
      <c r="F37" s="433">
        <v>112.89</v>
      </c>
      <c r="G37" s="433">
        <v>132.205479</v>
      </c>
      <c r="H37" s="433">
        <v>134.188561185</v>
      </c>
      <c r="I37" s="437"/>
      <c r="J37" s="435">
        <v>12350</v>
      </c>
      <c r="K37" s="433">
        <v>444.44</v>
      </c>
      <c r="L37" s="443">
        <v>520.48368400000004</v>
      </c>
      <c r="M37" s="443">
        <v>528.29093925999996</v>
      </c>
      <c r="N37" s="426">
        <v>0</v>
      </c>
      <c r="O37" s="446">
        <v>0</v>
      </c>
      <c r="P37" s="446">
        <v>0</v>
      </c>
      <c r="Q37" s="416"/>
      <c r="R37" s="416"/>
      <c r="S37" s="416"/>
      <c r="T37" s="416"/>
      <c r="U37" s="416"/>
      <c r="V37" s="416"/>
      <c r="W37" s="416"/>
      <c r="X37" s="422"/>
    </row>
    <row r="38" spans="2:24">
      <c r="B38" s="418">
        <v>2022</v>
      </c>
      <c r="C38" s="425">
        <v>2</v>
      </c>
      <c r="D38" s="437"/>
      <c r="E38" s="435">
        <v>37384</v>
      </c>
      <c r="F38" s="433">
        <v>112.89</v>
      </c>
      <c r="G38" s="433">
        <v>132.205479</v>
      </c>
      <c r="H38" s="433">
        <v>136.20138960277495</v>
      </c>
      <c r="I38" s="437"/>
      <c r="J38" s="435">
        <v>12350</v>
      </c>
      <c r="K38" s="433">
        <v>444.44</v>
      </c>
      <c r="L38" s="443">
        <v>520.48368400000004</v>
      </c>
      <c r="M38" s="443">
        <v>457.87319899999989</v>
      </c>
      <c r="N38" s="426">
        <v>0</v>
      </c>
      <c r="O38" s="446">
        <v>0</v>
      </c>
      <c r="P38" s="446">
        <v>0</v>
      </c>
      <c r="Q38" s="416"/>
      <c r="R38" s="416"/>
      <c r="S38" s="416"/>
      <c r="T38" s="416"/>
      <c r="U38" s="416"/>
      <c r="V38" s="416"/>
      <c r="W38" s="416"/>
      <c r="X38" s="422"/>
    </row>
    <row r="39" spans="2:24">
      <c r="B39" s="418">
        <v>2023</v>
      </c>
      <c r="C39" s="425">
        <v>3</v>
      </c>
      <c r="D39" s="437"/>
      <c r="E39" s="435">
        <v>37384</v>
      </c>
      <c r="F39" s="433">
        <v>112.89</v>
      </c>
      <c r="G39" s="433">
        <v>132.205479</v>
      </c>
      <c r="H39" s="433">
        <v>138.24441044681657</v>
      </c>
      <c r="I39" s="437"/>
      <c r="J39" s="435">
        <v>12350</v>
      </c>
      <c r="K39" s="433">
        <v>444.44</v>
      </c>
      <c r="L39" s="443">
        <v>520.48368400000004</v>
      </c>
      <c r="M39" s="443">
        <v>464.74129698499985</v>
      </c>
      <c r="N39" s="426">
        <v>0</v>
      </c>
      <c r="O39" s="446">
        <v>0</v>
      </c>
      <c r="P39" s="446">
        <v>0</v>
      </c>
      <c r="Q39" s="416"/>
      <c r="R39" s="416"/>
      <c r="S39" s="416"/>
      <c r="T39" s="416"/>
      <c r="U39" s="416"/>
      <c r="V39" s="416"/>
      <c r="W39" s="416"/>
      <c r="X39" s="422"/>
    </row>
    <row r="40" spans="2:24">
      <c r="B40" s="418">
        <v>2024</v>
      </c>
      <c r="C40" s="425">
        <v>4</v>
      </c>
      <c r="D40" s="437"/>
      <c r="E40" s="435">
        <v>37384</v>
      </c>
      <c r="F40" s="433">
        <v>112.89</v>
      </c>
      <c r="G40" s="433">
        <v>132.205479</v>
      </c>
      <c r="H40" s="433">
        <v>140.31807660351879</v>
      </c>
      <c r="I40" s="437"/>
      <c r="J40" s="435">
        <v>12350</v>
      </c>
      <c r="K40" s="433">
        <v>444.44</v>
      </c>
      <c r="L40" s="443">
        <v>520.48368400000004</v>
      </c>
      <c r="M40" s="443">
        <v>471.71241643977476</v>
      </c>
      <c r="N40" s="426">
        <v>0</v>
      </c>
      <c r="O40" s="446">
        <v>0</v>
      </c>
      <c r="P40" s="446">
        <v>0</v>
      </c>
      <c r="Q40" s="416"/>
      <c r="R40" s="416"/>
      <c r="S40" s="416"/>
      <c r="T40" s="416"/>
      <c r="U40" s="416"/>
      <c r="V40" s="416"/>
      <c r="W40" s="416"/>
      <c r="X40" s="422"/>
    </row>
    <row r="41" spans="2:24">
      <c r="B41" s="418">
        <v>2025</v>
      </c>
      <c r="C41" s="425">
        <v>5</v>
      </c>
      <c r="D41" s="437"/>
      <c r="E41" s="435">
        <v>37384</v>
      </c>
      <c r="F41" s="433">
        <v>112.89</v>
      </c>
      <c r="G41" s="433">
        <v>132.205479</v>
      </c>
      <c r="H41" s="433">
        <v>142.42284775257156</v>
      </c>
      <c r="I41" s="437">
        <v>12000</v>
      </c>
      <c r="J41" s="435">
        <v>12350</v>
      </c>
      <c r="K41" s="433">
        <v>444.44</v>
      </c>
      <c r="L41" s="443">
        <v>520.48368400000004</v>
      </c>
      <c r="M41" s="443">
        <v>478.7881026863713</v>
      </c>
      <c r="N41" s="426">
        <v>0</v>
      </c>
      <c r="O41" s="446">
        <v>0</v>
      </c>
      <c r="P41" s="446">
        <v>0</v>
      </c>
      <c r="Q41" s="416"/>
      <c r="R41" s="416"/>
      <c r="S41" s="416"/>
      <c r="T41" s="416"/>
      <c r="U41" s="416"/>
      <c r="V41" s="416"/>
      <c r="W41" s="416"/>
      <c r="X41" s="422"/>
    </row>
    <row r="42" spans="2:24">
      <c r="B42" s="418">
        <v>2026</v>
      </c>
      <c r="C42" s="425">
        <v>6</v>
      </c>
      <c r="D42" s="437"/>
      <c r="E42" s="435">
        <v>37384</v>
      </c>
      <c r="F42" s="433">
        <v>112.89</v>
      </c>
      <c r="G42" s="433">
        <v>132.205479</v>
      </c>
      <c r="H42" s="433">
        <v>144.55919046886009</v>
      </c>
      <c r="I42" s="437">
        <v>12000</v>
      </c>
      <c r="J42" s="435">
        <v>12350</v>
      </c>
      <c r="K42" s="433">
        <v>444.44</v>
      </c>
      <c r="L42" s="443">
        <v>520.48368400000004</v>
      </c>
      <c r="M42" s="443">
        <v>485.96992422666676</v>
      </c>
      <c r="N42" s="426">
        <v>0</v>
      </c>
      <c r="O42" s="446">
        <v>0</v>
      </c>
      <c r="P42" s="446">
        <v>0</v>
      </c>
      <c r="Q42" s="416"/>
      <c r="R42" s="416"/>
      <c r="S42" s="416"/>
      <c r="T42" s="416"/>
      <c r="U42" s="416"/>
      <c r="V42" s="416"/>
      <c r="W42" s="416"/>
      <c r="X42" s="422"/>
    </row>
    <row r="43" spans="2:24">
      <c r="B43" s="418">
        <v>2027</v>
      </c>
      <c r="C43" s="425">
        <v>7</v>
      </c>
      <c r="D43" s="437"/>
      <c r="E43" s="435">
        <v>37384</v>
      </c>
      <c r="F43" s="433">
        <v>112.89</v>
      </c>
      <c r="G43" s="433">
        <v>132.205479</v>
      </c>
      <c r="H43" s="433">
        <v>146.72757832589298</v>
      </c>
      <c r="I43" s="437">
        <v>12000</v>
      </c>
      <c r="J43" s="435">
        <v>12350</v>
      </c>
      <c r="K43" s="433">
        <v>444.44</v>
      </c>
      <c r="L43" s="443">
        <v>520.48368400000004</v>
      </c>
      <c r="M43" s="443">
        <v>493.25947309006671</v>
      </c>
      <c r="N43" s="426">
        <v>0</v>
      </c>
      <c r="O43" s="446">
        <v>0</v>
      </c>
      <c r="P43" s="446">
        <v>0</v>
      </c>
      <c r="Q43" s="416"/>
      <c r="R43" s="416"/>
      <c r="S43" s="416"/>
      <c r="T43" s="416"/>
      <c r="U43" s="416"/>
      <c r="V43" s="416"/>
      <c r="W43" s="416"/>
      <c r="X43" s="422"/>
    </row>
    <row r="44" spans="2:24">
      <c r="B44" s="418">
        <v>2028</v>
      </c>
      <c r="C44" s="425">
        <v>8</v>
      </c>
      <c r="D44" s="437"/>
      <c r="E44" s="435">
        <v>37384</v>
      </c>
      <c r="F44" s="433">
        <v>112.89</v>
      </c>
      <c r="G44" s="433">
        <v>132.205479</v>
      </c>
      <c r="H44" s="433">
        <v>148.92849200078138</v>
      </c>
      <c r="I44" s="437">
        <v>12000</v>
      </c>
      <c r="J44" s="435">
        <v>12350</v>
      </c>
      <c r="K44" s="433">
        <v>444.44</v>
      </c>
      <c r="L44" s="443">
        <v>520.48368400000004</v>
      </c>
      <c r="M44" s="443">
        <v>500.65836518641765</v>
      </c>
      <c r="N44" s="426">
        <v>0</v>
      </c>
      <c r="O44" s="446">
        <v>0</v>
      </c>
      <c r="P44" s="446">
        <v>0</v>
      </c>
      <c r="Q44" s="416"/>
      <c r="R44" s="416"/>
      <c r="S44" s="416"/>
      <c r="T44" s="416"/>
      <c r="U44" s="416"/>
      <c r="V44" s="416"/>
      <c r="W44" s="416"/>
      <c r="X44" s="422"/>
    </row>
    <row r="45" spans="2:24">
      <c r="B45" s="418">
        <v>2029</v>
      </c>
      <c r="C45" s="425">
        <v>9</v>
      </c>
      <c r="D45" s="437">
        <v>38000</v>
      </c>
      <c r="E45" s="435">
        <v>37384</v>
      </c>
      <c r="F45" s="433">
        <v>112.89</v>
      </c>
      <c r="G45" s="433">
        <v>132.205479</v>
      </c>
      <c r="H45" s="433">
        <v>151.16241938079307</v>
      </c>
      <c r="I45" s="437">
        <v>12000</v>
      </c>
      <c r="J45" s="435">
        <v>12350</v>
      </c>
      <c r="K45" s="433">
        <v>444.44</v>
      </c>
      <c r="L45" s="443">
        <v>520.48368400000004</v>
      </c>
      <c r="M45" s="443">
        <v>508.16824066421384</v>
      </c>
      <c r="N45" s="426">
        <v>11842190.824440703</v>
      </c>
      <c r="O45" s="446">
        <v>236843.81648881407</v>
      </c>
      <c r="P45" s="446">
        <v>118421.90824440704</v>
      </c>
      <c r="Q45" s="416"/>
      <c r="R45" s="416"/>
      <c r="S45" s="416"/>
      <c r="T45" s="416"/>
      <c r="U45" s="416"/>
      <c r="V45" s="416"/>
      <c r="W45" s="416"/>
      <c r="X45" s="422"/>
    </row>
    <row r="46" spans="2:24">
      <c r="B46" s="418">
        <v>2030</v>
      </c>
      <c r="C46" s="425">
        <v>10</v>
      </c>
      <c r="D46" s="437">
        <v>38000</v>
      </c>
      <c r="E46" s="435">
        <v>37384</v>
      </c>
      <c r="F46" s="433">
        <v>112.89</v>
      </c>
      <c r="G46" s="433">
        <v>132.205479</v>
      </c>
      <c r="H46" s="433">
        <v>153.42985567150495</v>
      </c>
      <c r="I46" s="437">
        <v>12000</v>
      </c>
      <c r="J46" s="435">
        <v>12350</v>
      </c>
      <c r="K46" s="433">
        <v>444.44</v>
      </c>
      <c r="L46" s="443">
        <v>520.48368400000004</v>
      </c>
      <c r="M46" s="443">
        <v>515.79076427417704</v>
      </c>
      <c r="N46" s="426">
        <v>12019823.686807312</v>
      </c>
      <c r="O46" s="446">
        <v>240396.47373614623</v>
      </c>
      <c r="P46" s="446">
        <v>120198.23686807312</v>
      </c>
      <c r="Q46" s="416"/>
      <c r="R46" s="416"/>
      <c r="S46" s="416"/>
      <c r="T46" s="416"/>
      <c r="U46" s="416"/>
      <c r="V46" s="416"/>
      <c r="W46" s="416"/>
      <c r="X46" s="422"/>
    </row>
    <row r="47" spans="2:24">
      <c r="B47" s="418">
        <v>2031</v>
      </c>
      <c r="C47" s="425">
        <v>11</v>
      </c>
      <c r="D47" s="437">
        <v>38000</v>
      </c>
      <c r="E47" s="435">
        <v>37384</v>
      </c>
      <c r="F47" s="433">
        <v>112.89</v>
      </c>
      <c r="G47" s="433">
        <v>132.205479</v>
      </c>
      <c r="H47" s="433">
        <v>155.73130350657749</v>
      </c>
      <c r="I47" s="437">
        <v>12000</v>
      </c>
      <c r="J47" s="435">
        <v>12350</v>
      </c>
      <c r="K47" s="433">
        <v>444.44</v>
      </c>
      <c r="L47" s="443">
        <v>520.48368400000004</v>
      </c>
      <c r="M47" s="443">
        <v>523.52762573828966</v>
      </c>
      <c r="N47" s="426">
        <v>12200121.042109421</v>
      </c>
      <c r="O47" s="446">
        <v>244002.42084218841</v>
      </c>
      <c r="P47" s="446">
        <v>122001.21042109421</v>
      </c>
      <c r="Q47" s="416"/>
      <c r="R47" s="416"/>
      <c r="S47" s="416"/>
      <c r="T47" s="416"/>
      <c r="U47" s="416"/>
      <c r="V47" s="416"/>
      <c r="W47" s="416"/>
      <c r="X47" s="422"/>
    </row>
    <row r="48" spans="2:24">
      <c r="B48" s="418">
        <v>2032</v>
      </c>
      <c r="C48" s="425">
        <v>12</v>
      </c>
      <c r="D48" s="437">
        <v>38000</v>
      </c>
      <c r="E48" s="435">
        <v>37384</v>
      </c>
      <c r="F48" s="433">
        <v>112.89</v>
      </c>
      <c r="G48" s="433">
        <v>132.205479</v>
      </c>
      <c r="H48" s="433">
        <v>158.06727305917613</v>
      </c>
      <c r="I48" s="437">
        <v>12000</v>
      </c>
      <c r="J48" s="435">
        <v>12350</v>
      </c>
      <c r="K48" s="433">
        <v>444.44</v>
      </c>
      <c r="L48" s="443">
        <v>520.48368400000004</v>
      </c>
      <c r="M48" s="443">
        <v>531.38054012436385</v>
      </c>
      <c r="N48" s="426">
        <v>12383122.857741058</v>
      </c>
      <c r="O48" s="446">
        <v>247662.45715482117</v>
      </c>
      <c r="P48" s="446">
        <v>123831.22857741058</v>
      </c>
      <c r="Q48" s="416"/>
      <c r="R48" s="416"/>
      <c r="S48" s="416"/>
      <c r="T48" s="416"/>
      <c r="U48" s="416"/>
      <c r="V48" s="416"/>
      <c r="W48" s="416"/>
      <c r="X48" s="422"/>
    </row>
    <row r="49" spans="2:24">
      <c r="B49" s="418">
        <v>2033</v>
      </c>
      <c r="C49" s="425">
        <v>13</v>
      </c>
      <c r="D49" s="437">
        <v>38000</v>
      </c>
      <c r="E49" s="435">
        <v>37384</v>
      </c>
      <c r="F49" s="433">
        <v>112.89</v>
      </c>
      <c r="G49" s="433">
        <v>132.205479</v>
      </c>
      <c r="H49" s="433">
        <v>160.43828215506377</v>
      </c>
      <c r="I49" s="437">
        <v>12000</v>
      </c>
      <c r="J49" s="435">
        <v>12350</v>
      </c>
      <c r="K49" s="433">
        <v>444.44</v>
      </c>
      <c r="L49" s="443">
        <v>520.48368400000004</v>
      </c>
      <c r="M49" s="443">
        <v>539.35124822622925</v>
      </c>
      <c r="N49" s="426">
        <v>12568869.700607173</v>
      </c>
      <c r="O49" s="446">
        <v>251377.39401214346</v>
      </c>
      <c r="P49" s="446">
        <v>125688.69700607173</v>
      </c>
      <c r="Q49" s="416"/>
      <c r="R49" s="416"/>
      <c r="S49" s="416"/>
      <c r="T49" s="416"/>
      <c r="U49" s="416"/>
      <c r="V49" s="416"/>
      <c r="W49" s="416"/>
      <c r="X49" s="422"/>
    </row>
    <row r="50" spans="2:24">
      <c r="B50" s="418">
        <v>2034</v>
      </c>
      <c r="C50" s="425">
        <v>14</v>
      </c>
      <c r="D50" s="437">
        <v>38000</v>
      </c>
      <c r="E50" s="435">
        <v>37384</v>
      </c>
      <c r="F50" s="433">
        <v>112.89</v>
      </c>
      <c r="G50" s="433">
        <v>132.205479</v>
      </c>
      <c r="H50" s="433">
        <v>162.84485638738968</v>
      </c>
      <c r="I50" s="437">
        <v>12000</v>
      </c>
      <c r="J50" s="435">
        <v>12350</v>
      </c>
      <c r="K50" s="433">
        <v>444.44</v>
      </c>
      <c r="L50" s="443">
        <v>520.48368400000004</v>
      </c>
      <c r="M50" s="443">
        <v>547.44151694962261</v>
      </c>
      <c r="N50" s="426">
        <v>12757402.746116279</v>
      </c>
      <c r="O50" s="446">
        <v>255148.05492232557</v>
      </c>
      <c r="P50" s="446">
        <v>127574.02746116278</v>
      </c>
      <c r="Q50" s="416"/>
      <c r="R50" s="416"/>
      <c r="S50" s="416"/>
      <c r="T50" s="416"/>
      <c r="U50" s="416"/>
      <c r="V50" s="416"/>
      <c r="W50" s="416"/>
      <c r="X50" s="422"/>
    </row>
    <row r="51" spans="2:24">
      <c r="B51" s="418">
        <v>2035</v>
      </c>
      <c r="C51" s="425">
        <v>15</v>
      </c>
      <c r="D51" s="437">
        <v>38000</v>
      </c>
      <c r="E51" s="435">
        <v>37384</v>
      </c>
      <c r="F51" s="433">
        <v>112.89</v>
      </c>
      <c r="G51" s="433">
        <v>132.205479</v>
      </c>
      <c r="H51" s="433">
        <v>165.2875292332005</v>
      </c>
      <c r="I51" s="437">
        <v>12000</v>
      </c>
      <c r="J51" s="435">
        <v>12350</v>
      </c>
      <c r="K51" s="433">
        <v>444.44</v>
      </c>
      <c r="L51" s="443">
        <v>520.48368400000004</v>
      </c>
      <c r="M51" s="443">
        <v>555.65313970386683</v>
      </c>
      <c r="N51" s="426">
        <v>12948763.787308021</v>
      </c>
      <c r="O51" s="446">
        <v>258975.27574616042</v>
      </c>
      <c r="P51" s="446">
        <v>129487.63787308021</v>
      </c>
      <c r="Q51" s="416"/>
      <c r="R51" s="416"/>
      <c r="S51" s="416"/>
      <c r="T51" s="416"/>
      <c r="U51" s="416"/>
      <c r="V51" s="416"/>
      <c r="W51" s="416"/>
      <c r="X51" s="422"/>
    </row>
    <row r="52" spans="2:24">
      <c r="B52" s="418">
        <v>2036</v>
      </c>
      <c r="C52" s="425">
        <v>16</v>
      </c>
      <c r="D52" s="437">
        <v>38000</v>
      </c>
      <c r="E52" s="435">
        <v>37384</v>
      </c>
      <c r="F52" s="433">
        <v>112.89</v>
      </c>
      <c r="G52" s="433">
        <v>132.205479</v>
      </c>
      <c r="H52" s="433">
        <v>167.7668421716985</v>
      </c>
      <c r="I52" s="437">
        <v>12000</v>
      </c>
      <c r="J52" s="435">
        <v>12350</v>
      </c>
      <c r="K52" s="433">
        <v>444.44</v>
      </c>
      <c r="L52" s="443">
        <v>520.48368400000004</v>
      </c>
      <c r="M52" s="443">
        <v>563.9879367994248</v>
      </c>
      <c r="N52" s="426">
        <v>13142995.24411764</v>
      </c>
      <c r="O52" s="446">
        <v>262859.9048823528</v>
      </c>
      <c r="P52" s="446">
        <v>131429.9524411764</v>
      </c>
      <c r="Q52" s="416"/>
      <c r="R52" s="416"/>
      <c r="S52" s="416"/>
      <c r="T52" s="416"/>
      <c r="U52" s="416"/>
      <c r="V52" s="416"/>
      <c r="W52" s="416"/>
      <c r="X52" s="422"/>
    </row>
    <row r="53" spans="2:24">
      <c r="B53" s="418">
        <v>2037</v>
      </c>
      <c r="C53" s="425">
        <v>17</v>
      </c>
      <c r="D53" s="437">
        <v>38000</v>
      </c>
      <c r="E53" s="435">
        <v>37384</v>
      </c>
      <c r="F53" s="433">
        <v>112.89</v>
      </c>
      <c r="G53" s="433">
        <v>132.205479</v>
      </c>
      <c r="H53" s="433">
        <v>170.28334480427395</v>
      </c>
      <c r="I53" s="437">
        <v>12000</v>
      </c>
      <c r="J53" s="435">
        <v>12350</v>
      </c>
      <c r="K53" s="433">
        <v>444.44</v>
      </c>
      <c r="L53" s="443">
        <v>520.48368400000004</v>
      </c>
      <c r="M53" s="443">
        <v>572.4477558514161</v>
      </c>
      <c r="N53" s="426">
        <v>13340140.172779404</v>
      </c>
      <c r="O53" s="446">
        <v>266802.80345558806</v>
      </c>
      <c r="P53" s="446">
        <v>133401.40172779403</v>
      </c>
      <c r="Q53" s="416"/>
      <c r="R53" s="416"/>
      <c r="S53" s="416"/>
      <c r="T53" s="416"/>
      <c r="U53" s="416"/>
      <c r="V53" s="416"/>
      <c r="W53" s="416"/>
      <c r="X53" s="422"/>
    </row>
    <row r="54" spans="2:24">
      <c r="B54" s="418">
        <v>2038</v>
      </c>
      <c r="C54" s="425">
        <v>18</v>
      </c>
      <c r="D54" s="437">
        <v>38000</v>
      </c>
      <c r="E54" s="435">
        <v>37384</v>
      </c>
      <c r="F54" s="433">
        <v>112.89</v>
      </c>
      <c r="G54" s="433">
        <v>132.205479</v>
      </c>
      <c r="H54" s="433">
        <v>172.83759497633804</v>
      </c>
      <c r="I54" s="437">
        <v>12000</v>
      </c>
      <c r="J54" s="435">
        <v>12350</v>
      </c>
      <c r="K54" s="433">
        <v>444.44</v>
      </c>
      <c r="L54" s="443">
        <v>520.48368400000004</v>
      </c>
      <c r="M54" s="443">
        <v>581.03447218918723</v>
      </c>
      <c r="N54" s="426">
        <v>13540242.275371093</v>
      </c>
      <c r="O54" s="446">
        <v>270804.84550742188</v>
      </c>
      <c r="P54" s="446">
        <v>135402.42275371094</v>
      </c>
      <c r="Q54" s="416"/>
      <c r="R54" s="416"/>
      <c r="S54" s="416"/>
      <c r="T54" s="416"/>
      <c r="U54" s="416"/>
      <c r="V54" s="416"/>
      <c r="W54" s="416"/>
      <c r="X54" s="422"/>
    </row>
    <row r="55" spans="2:24">
      <c r="B55" s="418">
        <v>2039</v>
      </c>
      <c r="C55" s="425">
        <v>19</v>
      </c>
      <c r="D55" s="437">
        <v>38000</v>
      </c>
      <c r="E55" s="435">
        <v>37384</v>
      </c>
      <c r="F55" s="433">
        <v>112.89</v>
      </c>
      <c r="G55" s="433">
        <v>132.205479</v>
      </c>
      <c r="H55" s="433">
        <v>175.43015890098309</v>
      </c>
      <c r="I55" s="437">
        <v>12000</v>
      </c>
      <c r="J55" s="435">
        <v>12350</v>
      </c>
      <c r="K55" s="433">
        <v>444.44</v>
      </c>
      <c r="L55" s="443">
        <v>520.48368400000004</v>
      </c>
      <c r="M55" s="443">
        <v>589.749989272025</v>
      </c>
      <c r="N55" s="426">
        <v>13743345.909501657</v>
      </c>
      <c r="O55" s="446">
        <v>274866.91819003312</v>
      </c>
      <c r="P55" s="446">
        <v>137433.45909501656</v>
      </c>
      <c r="Q55" s="416"/>
      <c r="R55" s="416"/>
      <c r="S55" s="416"/>
      <c r="T55" s="416"/>
      <c r="U55" s="416"/>
      <c r="V55" s="416"/>
      <c r="W55" s="416"/>
      <c r="X55" s="422"/>
    </row>
    <row r="56" spans="2:24" ht="15.75" thickBot="1">
      <c r="B56" s="418">
        <v>2040</v>
      </c>
      <c r="C56" s="419">
        <v>20</v>
      </c>
      <c r="D56" s="437">
        <v>38000</v>
      </c>
      <c r="E56" s="435">
        <v>37384</v>
      </c>
      <c r="F56" s="433">
        <v>112.89</v>
      </c>
      <c r="G56" s="433">
        <v>132.205479</v>
      </c>
      <c r="H56" s="433">
        <v>178.06161128449779</v>
      </c>
      <c r="I56" s="437">
        <v>12000</v>
      </c>
      <c r="J56" s="435">
        <v>12350</v>
      </c>
      <c r="K56" s="433">
        <v>444.44</v>
      </c>
      <c r="L56" s="443">
        <v>520.48368400000004</v>
      </c>
      <c r="M56" s="443">
        <v>598.59623911110521</v>
      </c>
      <c r="N56" s="427">
        <v>13949496.098144177</v>
      </c>
      <c r="O56" s="447">
        <v>278989.92196288356</v>
      </c>
      <c r="P56" s="447">
        <v>139494.96098144178</v>
      </c>
      <c r="Q56" s="416"/>
      <c r="R56" s="416"/>
      <c r="S56" s="416"/>
      <c r="T56" s="416"/>
      <c r="U56" s="416"/>
      <c r="V56" s="416"/>
      <c r="W56" s="416"/>
      <c r="X56" s="422"/>
    </row>
    <row r="57" spans="2:24" ht="15.75" thickBot="1">
      <c r="B57" s="702" t="s">
        <v>427</v>
      </c>
      <c r="C57" s="702"/>
      <c r="D57" s="702"/>
      <c r="E57" s="702"/>
      <c r="F57" s="702"/>
      <c r="G57" s="702"/>
      <c r="H57" s="702"/>
      <c r="I57" s="702"/>
      <c r="J57" s="702"/>
      <c r="K57" s="702"/>
      <c r="L57" s="702"/>
      <c r="M57" s="702"/>
      <c r="N57" s="448">
        <v>154436514.34504393</v>
      </c>
      <c r="O57" s="414">
        <v>3088730.2869008784</v>
      </c>
      <c r="P57" s="414">
        <v>1544365.1434504392</v>
      </c>
      <c r="Q57" s="416"/>
      <c r="R57" s="416"/>
      <c r="S57" s="422"/>
      <c r="T57" s="416"/>
      <c r="U57" s="416"/>
      <c r="V57" s="416"/>
      <c r="W57" s="416"/>
      <c r="X57" s="416"/>
    </row>
    <row r="58" spans="2:24">
      <c r="B58" s="416"/>
      <c r="C58" s="416"/>
      <c r="D58" s="416"/>
      <c r="E58" s="416"/>
      <c r="F58" s="416"/>
      <c r="G58" s="416"/>
      <c r="H58" s="416"/>
      <c r="I58" s="416"/>
      <c r="J58" s="416"/>
      <c r="K58" s="416"/>
      <c r="L58" s="416"/>
      <c r="M58" s="416"/>
      <c r="N58" s="416"/>
      <c r="O58" s="416"/>
      <c r="P58" s="416"/>
      <c r="Q58" s="416"/>
      <c r="R58" s="416"/>
      <c r="S58" s="416"/>
      <c r="T58" s="416"/>
      <c r="U58" s="416"/>
      <c r="V58" s="416"/>
      <c r="W58" s="416"/>
      <c r="X58" s="416"/>
    </row>
    <row r="59" spans="2:24">
      <c r="B59" s="703" t="s">
        <v>428</v>
      </c>
      <c r="C59" s="703"/>
      <c r="D59" s="703"/>
      <c r="E59" s="703"/>
      <c r="F59" s="703"/>
      <c r="G59" s="703"/>
      <c r="H59" s="703"/>
      <c r="I59" s="703"/>
      <c r="J59" s="416"/>
      <c r="K59" s="416"/>
      <c r="L59" s="416"/>
      <c r="M59" s="416"/>
      <c r="N59" s="416"/>
      <c r="O59" s="416"/>
      <c r="P59" s="416"/>
      <c r="Q59" s="416"/>
      <c r="R59" s="416"/>
      <c r="S59" s="416"/>
      <c r="T59" s="416"/>
      <c r="U59" s="416"/>
      <c r="V59" s="416"/>
      <c r="W59" s="416"/>
      <c r="X59" s="416"/>
    </row>
    <row r="60" spans="2:24">
      <c r="B60" s="703" t="s">
        <v>429</v>
      </c>
      <c r="C60" s="703"/>
      <c r="D60" s="703"/>
      <c r="E60" s="703"/>
      <c r="F60" s="703"/>
      <c r="G60" s="703"/>
      <c r="H60" s="703"/>
      <c r="I60" s="703"/>
      <c r="J60" s="416"/>
      <c r="K60" s="416"/>
      <c r="L60" s="416"/>
      <c r="M60" s="416"/>
      <c r="N60" s="416"/>
      <c r="O60" s="416"/>
      <c r="P60" s="416"/>
      <c r="Q60" s="416"/>
      <c r="R60" s="416"/>
      <c r="S60" s="416"/>
      <c r="T60" s="416"/>
      <c r="U60" s="416"/>
      <c r="V60" s="416"/>
      <c r="W60" s="416"/>
      <c r="X60" s="416"/>
    </row>
    <row r="61" spans="2:24" ht="100.9" customHeight="1" thickBot="1">
      <c r="B61" s="431" t="s">
        <v>0</v>
      </c>
      <c r="C61" s="431" t="s">
        <v>415</v>
      </c>
      <c r="D61" s="431" t="s">
        <v>430</v>
      </c>
      <c r="E61" s="431" t="s">
        <v>431</v>
      </c>
      <c r="F61" s="431" t="s">
        <v>418</v>
      </c>
      <c r="G61" s="431" t="s">
        <v>419</v>
      </c>
      <c r="H61" s="431" t="s">
        <v>432</v>
      </c>
      <c r="I61" s="441" t="s">
        <v>433</v>
      </c>
      <c r="J61" s="431" t="s">
        <v>425</v>
      </c>
      <c r="K61" s="431" t="s">
        <v>426</v>
      </c>
      <c r="L61" s="416"/>
      <c r="M61" s="416"/>
      <c r="N61" s="416"/>
      <c r="O61" s="416"/>
      <c r="P61" s="416"/>
      <c r="Q61" s="416"/>
      <c r="R61" s="422"/>
      <c r="S61" s="416"/>
      <c r="T61" s="416"/>
      <c r="U61" s="416"/>
      <c r="V61" s="416"/>
      <c r="W61" s="416"/>
      <c r="X61" s="416"/>
    </row>
    <row r="62" spans="2:24">
      <c r="B62" s="423">
        <v>2020</v>
      </c>
      <c r="C62" s="430">
        <v>0</v>
      </c>
      <c r="D62" s="436"/>
      <c r="E62" s="434"/>
      <c r="F62" s="432"/>
      <c r="G62" s="442"/>
      <c r="H62" s="442"/>
      <c r="I62" s="439"/>
      <c r="J62" s="429"/>
      <c r="K62" s="429"/>
      <c r="L62" s="416"/>
      <c r="M62" s="416"/>
      <c r="N62" s="416"/>
      <c r="O62" s="416"/>
      <c r="P62" s="416"/>
      <c r="Q62" s="416"/>
      <c r="R62" s="452"/>
      <c r="S62" s="428"/>
    </row>
    <row r="63" spans="2:24">
      <c r="B63" s="418">
        <v>2021</v>
      </c>
      <c r="C63" s="425">
        <v>1</v>
      </c>
      <c r="D63" s="437"/>
      <c r="E63" s="435">
        <v>29066</v>
      </c>
      <c r="F63" s="433">
        <v>119.79</v>
      </c>
      <c r="G63" s="443">
        <v>140.286069</v>
      </c>
      <c r="H63" s="443">
        <v>142.39036003499999</v>
      </c>
      <c r="I63" s="440">
        <v>0</v>
      </c>
      <c r="J63" s="438">
        <v>0</v>
      </c>
      <c r="K63" s="438">
        <v>0</v>
      </c>
      <c r="L63" s="416"/>
      <c r="M63" s="416"/>
      <c r="N63" s="416"/>
      <c r="O63" s="416"/>
      <c r="P63" s="416"/>
      <c r="Q63" s="416"/>
      <c r="R63" s="452"/>
      <c r="S63" s="428"/>
    </row>
    <row r="64" spans="2:24">
      <c r="B64" s="418">
        <v>2022</v>
      </c>
      <c r="C64" s="425">
        <v>2</v>
      </c>
      <c r="D64" s="437"/>
      <c r="E64" s="435">
        <v>29066</v>
      </c>
      <c r="F64" s="433">
        <v>119.79</v>
      </c>
      <c r="G64" s="443">
        <v>140.286069</v>
      </c>
      <c r="H64" s="443">
        <v>144.52621543552496</v>
      </c>
      <c r="I64" s="440">
        <v>0</v>
      </c>
      <c r="J64" s="438">
        <v>0</v>
      </c>
      <c r="K64" s="438">
        <v>0</v>
      </c>
      <c r="L64" s="416"/>
      <c r="M64" s="416"/>
      <c r="N64" s="416"/>
      <c r="O64" s="416"/>
      <c r="P64" s="416"/>
      <c r="Q64" s="416"/>
      <c r="R64" s="452"/>
      <c r="S64" s="428"/>
    </row>
    <row r="65" spans="2:19">
      <c r="B65" s="418">
        <v>2023</v>
      </c>
      <c r="C65" s="425">
        <v>3</v>
      </c>
      <c r="D65" s="437"/>
      <c r="E65" s="435">
        <v>29066</v>
      </c>
      <c r="F65" s="433">
        <v>119.79</v>
      </c>
      <c r="G65" s="443">
        <v>140.286069</v>
      </c>
      <c r="H65" s="443">
        <v>146.6941086670578</v>
      </c>
      <c r="I65" s="440">
        <v>0</v>
      </c>
      <c r="J65" s="438">
        <v>0</v>
      </c>
      <c r="K65" s="438">
        <v>0</v>
      </c>
      <c r="L65" s="416"/>
      <c r="M65" s="416"/>
      <c r="N65" s="416"/>
      <c r="O65" s="416"/>
      <c r="P65" s="416"/>
      <c r="Q65" s="416"/>
      <c r="R65" s="452"/>
      <c r="S65" s="428"/>
    </row>
    <row r="66" spans="2:19">
      <c r="B66" s="418">
        <v>2024</v>
      </c>
      <c r="C66" s="425">
        <v>4</v>
      </c>
      <c r="D66" s="437"/>
      <c r="E66" s="435">
        <v>29066</v>
      </c>
      <c r="F66" s="433">
        <v>119.79</v>
      </c>
      <c r="G66" s="443">
        <v>140.286069</v>
      </c>
      <c r="H66" s="443">
        <v>148.89452029706365</v>
      </c>
      <c r="I66" s="440">
        <v>0</v>
      </c>
      <c r="J66" s="438">
        <v>0</v>
      </c>
      <c r="K66" s="438">
        <v>0</v>
      </c>
      <c r="L66" s="416"/>
      <c r="M66" s="428"/>
      <c r="N66" s="428"/>
      <c r="O66" s="416"/>
      <c r="P66" s="416"/>
      <c r="Q66" s="416"/>
      <c r="R66" s="452"/>
      <c r="S66" s="428"/>
    </row>
    <row r="67" spans="2:19">
      <c r="B67" s="418">
        <v>2025</v>
      </c>
      <c r="C67" s="425">
        <v>5</v>
      </c>
      <c r="D67" s="437">
        <v>27000</v>
      </c>
      <c r="E67" s="435">
        <v>29066</v>
      </c>
      <c r="F67" s="433">
        <v>119.79</v>
      </c>
      <c r="G67" s="443">
        <v>140.286069</v>
      </c>
      <c r="H67" s="443">
        <v>151.12793810151959</v>
      </c>
      <c r="I67" s="440">
        <v>4080454.3287410289</v>
      </c>
      <c r="J67" s="438">
        <v>81609.086574820583</v>
      </c>
      <c r="K67" s="438">
        <v>40804.543287410292</v>
      </c>
      <c r="L67" s="416"/>
      <c r="M67" s="424"/>
      <c r="N67" s="416"/>
      <c r="O67" s="416"/>
      <c r="P67" s="416"/>
      <c r="Q67" s="416"/>
      <c r="R67" s="452"/>
      <c r="S67" s="428"/>
    </row>
    <row r="68" spans="2:19">
      <c r="B68" s="418">
        <v>2026</v>
      </c>
      <c r="C68" s="425">
        <v>6</v>
      </c>
      <c r="D68" s="437">
        <v>27000</v>
      </c>
      <c r="E68" s="435">
        <v>29066</v>
      </c>
      <c r="F68" s="433">
        <v>119.79</v>
      </c>
      <c r="G68" s="443">
        <v>140.286069</v>
      </c>
      <c r="H68" s="443">
        <v>153.39485717304237</v>
      </c>
      <c r="I68" s="440">
        <v>4141661.143672144</v>
      </c>
      <c r="J68" s="438">
        <v>82833.222873442879</v>
      </c>
      <c r="K68" s="438">
        <v>41416.61143672144</v>
      </c>
      <c r="L68" s="416"/>
      <c r="M68" s="416"/>
      <c r="N68" s="416"/>
      <c r="O68" s="416"/>
      <c r="P68" s="416"/>
      <c r="Q68" s="416"/>
      <c r="R68" s="452"/>
      <c r="S68" s="428"/>
    </row>
    <row r="69" spans="2:19">
      <c r="B69" s="418">
        <v>2027</v>
      </c>
      <c r="C69" s="425">
        <v>7</v>
      </c>
      <c r="D69" s="437">
        <v>27000</v>
      </c>
      <c r="E69" s="435">
        <v>29066</v>
      </c>
      <c r="F69" s="433">
        <v>119.79</v>
      </c>
      <c r="G69" s="443">
        <v>140.286069</v>
      </c>
      <c r="H69" s="443">
        <v>155.69578003063796</v>
      </c>
      <c r="I69" s="440">
        <v>4203786.0608272254</v>
      </c>
      <c r="J69" s="438">
        <v>84075.721216544509</v>
      </c>
      <c r="K69" s="438">
        <v>42037.860608272254</v>
      </c>
      <c r="L69" s="416"/>
      <c r="M69" s="416"/>
      <c r="N69" s="416"/>
      <c r="O69" s="416"/>
      <c r="P69" s="416"/>
      <c r="Q69" s="416"/>
      <c r="R69" s="452"/>
      <c r="S69" s="428"/>
    </row>
    <row r="70" spans="2:19">
      <c r="B70" s="418">
        <v>2028</v>
      </c>
      <c r="C70" s="425">
        <v>8</v>
      </c>
      <c r="D70" s="437">
        <v>27000</v>
      </c>
      <c r="E70" s="435">
        <v>29066</v>
      </c>
      <c r="F70" s="433">
        <v>119.79</v>
      </c>
      <c r="G70" s="443">
        <v>140.286069</v>
      </c>
      <c r="H70" s="443">
        <v>158.03121673109752</v>
      </c>
      <c r="I70" s="440">
        <v>4266842.8517396329</v>
      </c>
      <c r="J70" s="438">
        <v>85336.857034792658</v>
      </c>
      <c r="K70" s="438">
        <v>42668.428517396329</v>
      </c>
      <c r="L70" s="416"/>
      <c r="M70" s="416"/>
      <c r="N70" s="416"/>
      <c r="O70" s="416"/>
      <c r="P70" s="416"/>
      <c r="Q70" s="416"/>
      <c r="R70" s="452"/>
      <c r="S70" s="428"/>
    </row>
    <row r="71" spans="2:19">
      <c r="B71" s="418">
        <v>2029</v>
      </c>
      <c r="C71" s="425">
        <v>9</v>
      </c>
      <c r="D71" s="437">
        <v>27000</v>
      </c>
      <c r="E71" s="435">
        <v>29066</v>
      </c>
      <c r="F71" s="433">
        <v>119.79</v>
      </c>
      <c r="G71" s="443">
        <v>140.286069</v>
      </c>
      <c r="H71" s="443">
        <v>160.40168498206398</v>
      </c>
      <c r="I71" s="440">
        <v>4330845.4945157273</v>
      </c>
      <c r="J71" s="438">
        <v>86616.90989031455</v>
      </c>
      <c r="K71" s="438">
        <v>43308.454945157275</v>
      </c>
      <c r="L71" s="416"/>
      <c r="M71" s="416"/>
      <c r="N71" s="416"/>
      <c r="O71" s="416"/>
      <c r="P71" s="416"/>
      <c r="Q71" s="416"/>
      <c r="R71" s="452"/>
      <c r="S71" s="428"/>
    </row>
    <row r="72" spans="2:19">
      <c r="B72" s="418">
        <v>2030</v>
      </c>
      <c r="C72" s="425">
        <v>10</v>
      </c>
      <c r="D72" s="437">
        <v>27000</v>
      </c>
      <c r="E72" s="435">
        <v>29066</v>
      </c>
      <c r="F72" s="433">
        <v>119.79</v>
      </c>
      <c r="G72" s="443">
        <v>140.286069</v>
      </c>
      <c r="H72" s="443">
        <v>162.80771025679491</v>
      </c>
      <c r="I72" s="440">
        <v>4395808.1769334627</v>
      </c>
      <c r="J72" s="438">
        <v>87916.163538669251</v>
      </c>
      <c r="K72" s="438">
        <v>43958.081769334625</v>
      </c>
      <c r="L72" s="416"/>
      <c r="M72" s="416"/>
      <c r="N72" s="416"/>
      <c r="O72" s="416"/>
      <c r="P72" s="416"/>
      <c r="Q72" s="416"/>
      <c r="R72" s="452"/>
      <c r="S72" s="428"/>
    </row>
    <row r="73" spans="2:19">
      <c r="B73" s="418">
        <v>2031</v>
      </c>
      <c r="C73" s="425">
        <v>11</v>
      </c>
      <c r="D73" s="437">
        <v>27000</v>
      </c>
      <c r="E73" s="435">
        <v>29066</v>
      </c>
      <c r="F73" s="433">
        <v>119.79</v>
      </c>
      <c r="G73" s="443">
        <v>140.286069</v>
      </c>
      <c r="H73" s="443">
        <v>165.24982591064682</v>
      </c>
      <c r="I73" s="440">
        <v>4461745.299587464</v>
      </c>
      <c r="J73" s="438">
        <v>89234.905991749285</v>
      </c>
      <c r="K73" s="438">
        <v>44617.452995874643</v>
      </c>
      <c r="L73" s="416"/>
      <c r="M73" s="416"/>
      <c r="N73" s="416"/>
      <c r="O73" s="416"/>
      <c r="P73" s="416"/>
      <c r="Q73" s="416"/>
      <c r="R73" s="452"/>
      <c r="S73" s="428"/>
    </row>
    <row r="74" spans="2:19">
      <c r="B74" s="418">
        <v>2032</v>
      </c>
      <c r="C74" s="425">
        <v>12</v>
      </c>
      <c r="D74" s="437">
        <v>27000</v>
      </c>
      <c r="E74" s="435">
        <v>29066</v>
      </c>
      <c r="F74" s="433">
        <v>119.79</v>
      </c>
      <c r="G74" s="443">
        <v>140.286069</v>
      </c>
      <c r="H74" s="443">
        <v>167.72857329930648</v>
      </c>
      <c r="I74" s="440">
        <v>4528671.4790812749</v>
      </c>
      <c r="J74" s="438">
        <v>90573.429581625503</v>
      </c>
      <c r="K74" s="438">
        <v>45286.714790812752</v>
      </c>
      <c r="L74" s="416"/>
      <c r="M74" s="416"/>
      <c r="N74" s="416"/>
      <c r="O74" s="416"/>
      <c r="P74" s="416"/>
      <c r="Q74" s="416"/>
      <c r="R74" s="452"/>
      <c r="S74" s="428"/>
    </row>
    <row r="75" spans="2:19">
      <c r="B75" s="418">
        <v>2033</v>
      </c>
      <c r="C75" s="425">
        <v>13</v>
      </c>
      <c r="D75" s="437">
        <v>27000</v>
      </c>
      <c r="E75" s="435">
        <v>29066</v>
      </c>
      <c r="F75" s="433">
        <v>119.79</v>
      </c>
      <c r="G75" s="443">
        <v>140.286069</v>
      </c>
      <c r="H75" s="443">
        <v>170.24450189879607</v>
      </c>
      <c r="I75" s="440">
        <v>4596601.5512674944</v>
      </c>
      <c r="J75" s="438">
        <v>91932.03102534989</v>
      </c>
      <c r="K75" s="438">
        <v>45966.015512674945</v>
      </c>
      <c r="L75" s="416"/>
      <c r="M75" s="416"/>
      <c r="N75" s="416"/>
      <c r="O75" s="416"/>
      <c r="P75" s="416"/>
      <c r="Q75" s="416"/>
      <c r="R75" s="452"/>
      <c r="S75" s="428"/>
    </row>
    <row r="76" spans="2:19">
      <c r="B76" s="418">
        <v>2034</v>
      </c>
      <c r="C76" s="425">
        <v>14</v>
      </c>
      <c r="D76" s="437">
        <v>27000</v>
      </c>
      <c r="E76" s="435">
        <v>29066</v>
      </c>
      <c r="F76" s="433">
        <v>119.79</v>
      </c>
      <c r="G76" s="443">
        <v>140.286069</v>
      </c>
      <c r="H76" s="443">
        <v>172.79816942727797</v>
      </c>
      <c r="I76" s="440">
        <v>4665550.5745365052</v>
      </c>
      <c r="J76" s="438">
        <v>93311.011490730103</v>
      </c>
      <c r="K76" s="438">
        <v>46655.505745365052</v>
      </c>
      <c r="L76" s="416"/>
      <c r="M76" s="416"/>
      <c r="N76" s="416"/>
      <c r="O76" s="416"/>
      <c r="P76" s="416"/>
      <c r="Q76" s="416"/>
      <c r="R76" s="452"/>
      <c r="S76" s="428"/>
    </row>
    <row r="77" spans="2:19">
      <c r="B77" s="418">
        <v>2035</v>
      </c>
      <c r="C77" s="425">
        <v>15</v>
      </c>
      <c r="D77" s="437">
        <v>27000</v>
      </c>
      <c r="E77" s="435">
        <v>29066</v>
      </c>
      <c r="F77" s="433">
        <v>119.79</v>
      </c>
      <c r="G77" s="443">
        <v>140.286069</v>
      </c>
      <c r="H77" s="443">
        <v>175.39014196868712</v>
      </c>
      <c r="I77" s="440">
        <v>4735533.8331545526</v>
      </c>
      <c r="J77" s="438">
        <v>94710.676663091057</v>
      </c>
      <c r="K77" s="438">
        <v>47355.338331545528</v>
      </c>
      <c r="L77" s="416"/>
      <c r="M77" s="416"/>
      <c r="N77" s="416"/>
      <c r="O77" s="416"/>
      <c r="P77" s="416"/>
      <c r="Q77" s="416"/>
      <c r="R77" s="452"/>
      <c r="S77" s="428"/>
    </row>
    <row r="78" spans="2:19">
      <c r="B78" s="418">
        <v>2036</v>
      </c>
      <c r="C78" s="425">
        <v>16</v>
      </c>
      <c r="D78" s="437">
        <v>27000</v>
      </c>
      <c r="E78" s="435">
        <v>29066</v>
      </c>
      <c r="F78" s="433">
        <v>119.79</v>
      </c>
      <c r="G78" s="443">
        <v>140.286069</v>
      </c>
      <c r="H78" s="443">
        <v>178.02099409821739</v>
      </c>
      <c r="I78" s="440">
        <v>4806566.8406518698</v>
      </c>
      <c r="J78" s="438">
        <v>96131.3368130374</v>
      </c>
      <c r="K78" s="438">
        <v>48065.6684065187</v>
      </c>
      <c r="L78" s="416"/>
      <c r="M78" s="416"/>
      <c r="N78" s="416"/>
      <c r="O78" s="416"/>
      <c r="P78" s="416"/>
      <c r="Q78" s="416"/>
      <c r="R78" s="452"/>
      <c r="S78" s="428"/>
    </row>
    <row r="79" spans="2:19">
      <c r="B79" s="418">
        <v>2037</v>
      </c>
      <c r="C79" s="425">
        <v>17</v>
      </c>
      <c r="D79" s="437">
        <v>27000</v>
      </c>
      <c r="E79" s="435">
        <v>29066</v>
      </c>
      <c r="F79" s="433">
        <v>119.79</v>
      </c>
      <c r="G79" s="443">
        <v>140.286069</v>
      </c>
      <c r="H79" s="443">
        <v>180.69130900969063</v>
      </c>
      <c r="I79" s="440">
        <v>4878665.343261647</v>
      </c>
      <c r="J79" s="438">
        <v>97573.306865232938</v>
      </c>
      <c r="K79" s="438">
        <v>48786.653432616469</v>
      </c>
      <c r="L79" s="416"/>
      <c r="M79" s="416"/>
      <c r="N79" s="416"/>
      <c r="O79" s="416"/>
      <c r="P79" s="416"/>
      <c r="Q79" s="416"/>
      <c r="R79" s="452"/>
      <c r="S79" s="428"/>
    </row>
    <row r="80" spans="2:19">
      <c r="B80" s="418">
        <v>2038</v>
      </c>
      <c r="C80" s="425">
        <v>18</v>
      </c>
      <c r="D80" s="437">
        <v>27000</v>
      </c>
      <c r="E80" s="435">
        <v>29066</v>
      </c>
      <c r="F80" s="433">
        <v>119.79</v>
      </c>
      <c r="G80" s="443">
        <v>140.286069</v>
      </c>
      <c r="H80" s="443">
        <v>183.40167864483598</v>
      </c>
      <c r="I80" s="440">
        <v>4951845.3234105716</v>
      </c>
      <c r="J80" s="438">
        <v>99036.90646821144</v>
      </c>
      <c r="K80" s="438">
        <v>49518.45323410572</v>
      </c>
      <c r="L80" s="416"/>
      <c r="M80" s="416"/>
      <c r="N80" s="416"/>
      <c r="O80" s="416"/>
      <c r="P80" s="416"/>
      <c r="Q80" s="416"/>
      <c r="R80" s="452"/>
      <c r="S80" s="428"/>
    </row>
    <row r="81" spans="2:19">
      <c r="B81" s="418">
        <v>2039</v>
      </c>
      <c r="C81" s="425">
        <v>19</v>
      </c>
      <c r="D81" s="437">
        <v>27000</v>
      </c>
      <c r="E81" s="435">
        <v>29066</v>
      </c>
      <c r="F81" s="433">
        <v>119.79</v>
      </c>
      <c r="G81" s="443">
        <v>140.286069</v>
      </c>
      <c r="H81" s="443">
        <v>186.15270382450851</v>
      </c>
      <c r="I81" s="440">
        <v>5026123.0032617301</v>
      </c>
      <c r="J81" s="438">
        <v>100522.4600652346</v>
      </c>
      <c r="K81" s="438">
        <v>50261.230032617299</v>
      </c>
      <c r="L81" s="416"/>
      <c r="M81" s="416"/>
      <c r="N81" s="416"/>
      <c r="O81" s="416"/>
      <c r="P81" s="416"/>
      <c r="Q81" s="416"/>
      <c r="R81" s="452"/>
      <c r="S81" s="428"/>
    </row>
    <row r="82" spans="2:19" ht="15.75" thickBot="1">
      <c r="B82" s="418">
        <v>2040</v>
      </c>
      <c r="C82" s="419">
        <v>20</v>
      </c>
      <c r="D82" s="437">
        <v>27000</v>
      </c>
      <c r="E82" s="435">
        <v>29066</v>
      </c>
      <c r="F82" s="433">
        <v>119.79</v>
      </c>
      <c r="G82" s="443">
        <v>140.286069</v>
      </c>
      <c r="H82" s="443">
        <v>188.94499438187606</v>
      </c>
      <c r="I82" s="440">
        <v>5101514.8483106531</v>
      </c>
      <c r="J82" s="438">
        <v>102030.29696621306</v>
      </c>
      <c r="K82" s="438">
        <v>51015.148483106532</v>
      </c>
      <c r="L82" s="416"/>
      <c r="M82" s="416"/>
      <c r="N82" s="416"/>
      <c r="O82" s="416"/>
      <c r="P82" s="416"/>
      <c r="Q82" s="416"/>
      <c r="R82" s="452"/>
      <c r="S82" s="428"/>
    </row>
    <row r="83" spans="2:19" ht="15.75" thickBot="1">
      <c r="B83" s="702" t="s">
        <v>434</v>
      </c>
      <c r="C83" s="702"/>
      <c r="D83" s="702"/>
      <c r="E83" s="702"/>
      <c r="F83" s="702"/>
      <c r="G83" s="702"/>
      <c r="H83" s="702"/>
      <c r="I83" s="449">
        <v>73172216.152952969</v>
      </c>
      <c r="J83" s="415">
        <v>1463444.3230590599</v>
      </c>
      <c r="K83" s="415">
        <v>731722.16152952996</v>
      </c>
      <c r="L83" s="416"/>
      <c r="M83" s="416"/>
      <c r="N83" s="416"/>
      <c r="O83" s="416"/>
      <c r="P83" s="416"/>
      <c r="Q83" s="416"/>
      <c r="R83" s="452"/>
      <c r="S83" s="428"/>
    </row>
    <row r="84" spans="2:19">
      <c r="B84" s="416"/>
      <c r="C84" s="416"/>
      <c r="D84" s="416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52"/>
      <c r="R84" s="428"/>
      <c r="S84" s="416"/>
    </row>
    <row r="85" spans="2:19">
      <c r="B85" s="703" t="s">
        <v>435</v>
      </c>
      <c r="C85" s="703"/>
      <c r="D85" s="703"/>
      <c r="E85" s="703"/>
      <c r="F85" s="703"/>
      <c r="G85" s="703"/>
      <c r="H85" s="703"/>
      <c r="I85" s="703"/>
      <c r="J85" s="416"/>
      <c r="K85" s="416"/>
      <c r="L85" s="416"/>
      <c r="M85" s="416"/>
      <c r="N85" s="416"/>
      <c r="O85" s="416"/>
      <c r="P85" s="416"/>
      <c r="Q85" s="453"/>
      <c r="R85" s="424"/>
      <c r="S85" s="416"/>
    </row>
    <row r="86" spans="2:19">
      <c r="B86" s="703" t="s">
        <v>436</v>
      </c>
      <c r="C86" s="703"/>
      <c r="D86" s="703"/>
      <c r="E86" s="703"/>
      <c r="F86" s="703"/>
      <c r="G86" s="703"/>
      <c r="H86" s="703"/>
      <c r="I86" s="703"/>
      <c r="J86" s="416"/>
      <c r="K86" s="416"/>
      <c r="L86" s="416"/>
      <c r="M86" s="416"/>
      <c r="N86" s="416"/>
      <c r="O86" s="416"/>
      <c r="P86" s="416"/>
      <c r="Q86" s="416"/>
      <c r="R86" s="416"/>
      <c r="S86" s="416"/>
    </row>
    <row r="87" spans="2:19" ht="116.45" customHeight="1" thickBot="1">
      <c r="B87" s="431" t="s">
        <v>0</v>
      </c>
      <c r="C87" s="431" t="s">
        <v>415</v>
      </c>
      <c r="D87" s="431" t="s">
        <v>430</v>
      </c>
      <c r="E87" s="431" t="s">
        <v>431</v>
      </c>
      <c r="F87" s="431" t="s">
        <v>418</v>
      </c>
      <c r="G87" s="431" t="s">
        <v>419</v>
      </c>
      <c r="H87" s="431" t="s">
        <v>437</v>
      </c>
      <c r="I87" s="441" t="s">
        <v>433</v>
      </c>
      <c r="J87" s="431" t="s">
        <v>425</v>
      </c>
      <c r="K87" s="431" t="s">
        <v>426</v>
      </c>
      <c r="L87" s="416"/>
      <c r="M87" s="416"/>
      <c r="N87" s="428"/>
      <c r="O87" s="416"/>
      <c r="P87" s="416"/>
      <c r="Q87" s="416"/>
      <c r="R87" s="422"/>
      <c r="S87" s="416"/>
    </row>
    <row r="88" spans="2:19">
      <c r="B88" s="423">
        <v>2020</v>
      </c>
      <c r="C88" s="430">
        <v>0</v>
      </c>
      <c r="D88" s="436"/>
      <c r="E88" s="434"/>
      <c r="F88" s="432"/>
      <c r="G88" s="442"/>
      <c r="H88" s="442"/>
      <c r="I88" s="439"/>
      <c r="J88" s="429"/>
      <c r="K88" s="429"/>
      <c r="L88" s="416"/>
      <c r="M88" s="416"/>
      <c r="N88" s="416"/>
      <c r="O88" s="416"/>
      <c r="P88" s="416"/>
      <c r="Q88" s="416"/>
      <c r="R88" s="422"/>
      <c r="S88" s="416"/>
    </row>
    <row r="89" spans="2:19">
      <c r="B89" s="418">
        <v>2021</v>
      </c>
      <c r="C89" s="425">
        <v>1</v>
      </c>
      <c r="D89" s="437"/>
      <c r="E89" s="435">
        <v>11275</v>
      </c>
      <c r="F89" s="433">
        <v>115.99</v>
      </c>
      <c r="G89" s="443">
        <v>135.83588900000001</v>
      </c>
      <c r="H89" s="443">
        <v>137.873427335</v>
      </c>
      <c r="I89" s="440">
        <v>0</v>
      </c>
      <c r="J89" s="438">
        <v>0</v>
      </c>
      <c r="K89" s="438">
        <v>0</v>
      </c>
      <c r="L89" s="416"/>
      <c r="M89" s="416"/>
      <c r="N89" s="416"/>
      <c r="O89" s="416"/>
      <c r="P89" s="416"/>
      <c r="Q89" s="416"/>
      <c r="R89" s="422"/>
      <c r="S89" s="416"/>
    </row>
    <row r="90" spans="2:19">
      <c r="B90" s="418">
        <v>2022</v>
      </c>
      <c r="C90" s="425">
        <v>2</v>
      </c>
      <c r="D90" s="437"/>
      <c r="E90" s="435">
        <v>11275</v>
      </c>
      <c r="F90" s="433">
        <v>115.99</v>
      </c>
      <c r="G90" s="443">
        <v>135.83588900000001</v>
      </c>
      <c r="H90" s="443">
        <v>139.94152874502498</v>
      </c>
      <c r="I90" s="440">
        <v>0</v>
      </c>
      <c r="J90" s="438">
        <v>0</v>
      </c>
      <c r="K90" s="438">
        <v>0</v>
      </c>
      <c r="L90" s="416"/>
      <c r="M90" s="416"/>
      <c r="N90" s="416"/>
      <c r="O90" s="416"/>
      <c r="P90" s="416"/>
      <c r="Q90" s="416"/>
      <c r="R90" s="422"/>
      <c r="S90" s="416"/>
    </row>
    <row r="91" spans="2:19">
      <c r="B91" s="418">
        <v>2023</v>
      </c>
      <c r="C91" s="425">
        <v>3</v>
      </c>
      <c r="D91" s="437"/>
      <c r="E91" s="435">
        <v>11275</v>
      </c>
      <c r="F91" s="433">
        <v>115.99</v>
      </c>
      <c r="G91" s="443">
        <v>135.83588900000001</v>
      </c>
      <c r="H91" s="443">
        <v>142.04065167620033</v>
      </c>
      <c r="I91" s="440">
        <v>0</v>
      </c>
      <c r="J91" s="438">
        <v>0</v>
      </c>
      <c r="K91" s="438">
        <v>0</v>
      </c>
      <c r="L91" s="416"/>
      <c r="M91" s="416"/>
      <c r="N91" s="416"/>
      <c r="O91" s="416"/>
      <c r="P91" s="416"/>
      <c r="Q91" s="416"/>
      <c r="R91" s="422"/>
      <c r="S91" s="416"/>
    </row>
    <row r="92" spans="2:19">
      <c r="B92" s="418">
        <v>2024</v>
      </c>
      <c r="C92" s="425">
        <v>4</v>
      </c>
      <c r="D92" s="437">
        <v>9000</v>
      </c>
      <c r="E92" s="435">
        <v>11275</v>
      </c>
      <c r="F92" s="433">
        <v>115.99</v>
      </c>
      <c r="G92" s="443">
        <v>135.83588900000001</v>
      </c>
      <c r="H92" s="443">
        <v>144.17126145134333</v>
      </c>
      <c r="I92" s="440">
        <v>1297541.35306209</v>
      </c>
      <c r="J92" s="438">
        <v>25950.827061241802</v>
      </c>
      <c r="K92" s="438">
        <v>12975.413530620901</v>
      </c>
      <c r="L92" s="416"/>
      <c r="M92" s="416"/>
      <c r="N92" s="416"/>
      <c r="O92" s="416"/>
      <c r="P92" s="416"/>
      <c r="Q92" s="416"/>
      <c r="R92" s="422"/>
      <c r="S92" s="416"/>
    </row>
    <row r="93" spans="2:19">
      <c r="B93" s="418">
        <v>2025</v>
      </c>
      <c r="C93" s="425">
        <v>5</v>
      </c>
      <c r="D93" s="437">
        <v>9000</v>
      </c>
      <c r="E93" s="435">
        <v>11275</v>
      </c>
      <c r="F93" s="433">
        <v>115.99</v>
      </c>
      <c r="G93" s="443">
        <v>135.83588900000001</v>
      </c>
      <c r="H93" s="443">
        <v>146.33383037311344</v>
      </c>
      <c r="I93" s="440">
        <v>1317004.4733580209</v>
      </c>
      <c r="J93" s="438">
        <v>26340.089467160418</v>
      </c>
      <c r="K93" s="438">
        <v>13170.044733580209</v>
      </c>
      <c r="L93" s="416"/>
      <c r="M93" s="416"/>
      <c r="N93" s="416"/>
      <c r="O93" s="416"/>
      <c r="P93" s="416"/>
      <c r="Q93" s="416"/>
      <c r="R93" s="422"/>
      <c r="S93" s="416"/>
    </row>
    <row r="94" spans="2:19">
      <c r="B94" s="418">
        <v>2026</v>
      </c>
      <c r="C94" s="425">
        <v>6</v>
      </c>
      <c r="D94" s="437">
        <v>9000</v>
      </c>
      <c r="E94" s="435">
        <v>11275</v>
      </c>
      <c r="F94" s="433">
        <v>115.99</v>
      </c>
      <c r="G94" s="443">
        <v>135.83588900000001</v>
      </c>
      <c r="H94" s="443">
        <v>148.52883782871012</v>
      </c>
      <c r="I94" s="440">
        <v>1336759.5404583912</v>
      </c>
      <c r="J94" s="438">
        <v>26735.190809167823</v>
      </c>
      <c r="K94" s="438">
        <v>13367.595404583912</v>
      </c>
      <c r="L94" s="416"/>
      <c r="M94" s="416"/>
      <c r="N94" s="416"/>
      <c r="O94" s="416"/>
      <c r="P94" s="416"/>
      <c r="Q94" s="416"/>
      <c r="R94" s="422"/>
    </row>
    <row r="95" spans="2:19">
      <c r="B95" s="418">
        <v>2027</v>
      </c>
      <c r="C95" s="425">
        <v>7</v>
      </c>
      <c r="D95" s="437">
        <v>9000</v>
      </c>
      <c r="E95" s="435">
        <v>11275</v>
      </c>
      <c r="F95" s="433">
        <v>115.99</v>
      </c>
      <c r="G95" s="443">
        <v>135.83588900000001</v>
      </c>
      <c r="H95" s="443">
        <v>150.75677039614075</v>
      </c>
      <c r="I95" s="440">
        <v>1356810.9335652667</v>
      </c>
      <c r="J95" s="438">
        <v>27136.218671305334</v>
      </c>
      <c r="K95" s="438">
        <v>13568.109335652667</v>
      </c>
      <c r="L95" s="416"/>
      <c r="M95" s="416"/>
      <c r="N95" s="416"/>
      <c r="O95" s="416"/>
      <c r="P95" s="416"/>
      <c r="Q95" s="416"/>
      <c r="R95" s="422"/>
    </row>
    <row r="96" spans="2:19">
      <c r="B96" s="418">
        <v>2028</v>
      </c>
      <c r="C96" s="425">
        <v>8</v>
      </c>
      <c r="D96" s="437">
        <v>9000</v>
      </c>
      <c r="E96" s="435">
        <v>11275</v>
      </c>
      <c r="F96" s="433">
        <v>115.99</v>
      </c>
      <c r="G96" s="443">
        <v>135.83588900000001</v>
      </c>
      <c r="H96" s="443">
        <v>153.01812195208285</v>
      </c>
      <c r="I96" s="440">
        <v>1377163.0975687457</v>
      </c>
      <c r="J96" s="438">
        <v>27543.261951374916</v>
      </c>
      <c r="K96" s="438">
        <v>13771.630975687458</v>
      </c>
      <c r="L96" s="416"/>
      <c r="M96" s="416"/>
      <c r="N96" s="454"/>
      <c r="O96" s="416"/>
      <c r="P96" s="416"/>
      <c r="Q96" s="416"/>
      <c r="R96" s="422"/>
    </row>
    <row r="97" spans="2:18">
      <c r="B97" s="418">
        <v>2029</v>
      </c>
      <c r="C97" s="425">
        <v>9</v>
      </c>
      <c r="D97" s="437">
        <v>9000</v>
      </c>
      <c r="E97" s="435">
        <v>11275</v>
      </c>
      <c r="F97" s="433">
        <v>115.99</v>
      </c>
      <c r="G97" s="443">
        <v>135.83588900000001</v>
      </c>
      <c r="H97" s="443">
        <v>155.31339378136406</v>
      </c>
      <c r="I97" s="440">
        <v>1397820.5440322766</v>
      </c>
      <c r="J97" s="438">
        <v>27956.410880645533</v>
      </c>
      <c r="K97" s="438">
        <v>13978.205440322767</v>
      </c>
      <c r="L97" s="416"/>
      <c r="M97" s="416"/>
      <c r="N97" s="416"/>
      <c r="O97" s="416"/>
      <c r="P97" s="416"/>
      <c r="Q97" s="416"/>
      <c r="R97" s="422"/>
    </row>
    <row r="98" spans="2:18">
      <c r="B98" s="418">
        <v>2030</v>
      </c>
      <c r="C98" s="425">
        <v>10</v>
      </c>
      <c r="D98" s="437">
        <v>9000</v>
      </c>
      <c r="E98" s="435">
        <v>11275</v>
      </c>
      <c r="F98" s="433">
        <v>115.99</v>
      </c>
      <c r="G98" s="443">
        <v>135.83588900000001</v>
      </c>
      <c r="H98" s="443">
        <v>157.64309468808452</v>
      </c>
      <c r="I98" s="440">
        <v>1418787.8521927607</v>
      </c>
      <c r="J98" s="438">
        <v>28375.757043855214</v>
      </c>
      <c r="K98" s="438">
        <v>14187.878521927607</v>
      </c>
      <c r="L98" s="416"/>
      <c r="M98" s="416"/>
      <c r="N98" s="416"/>
      <c r="O98" s="416"/>
      <c r="P98" s="416"/>
      <c r="Q98" s="416"/>
      <c r="R98" s="416"/>
    </row>
    <row r="99" spans="2:18">
      <c r="B99" s="418">
        <v>2031</v>
      </c>
      <c r="C99" s="425">
        <v>11</v>
      </c>
      <c r="D99" s="437">
        <v>9000</v>
      </c>
      <c r="E99" s="435">
        <v>11275</v>
      </c>
      <c r="F99" s="433">
        <v>115.99</v>
      </c>
      <c r="G99" s="443">
        <v>135.83588900000001</v>
      </c>
      <c r="H99" s="443">
        <v>160.00774110840575</v>
      </c>
      <c r="I99" s="440">
        <v>1440069.6699756519</v>
      </c>
      <c r="J99" s="438">
        <v>28801.393399513039</v>
      </c>
      <c r="K99" s="438">
        <v>14400.69669975652</v>
      </c>
      <c r="L99" s="416"/>
      <c r="M99" s="416"/>
      <c r="N99" s="428"/>
      <c r="O99" s="416"/>
      <c r="P99" s="416"/>
      <c r="Q99" s="416"/>
      <c r="R99" s="416"/>
    </row>
    <row r="100" spans="2:18">
      <c r="B100" s="418">
        <v>2032</v>
      </c>
      <c r="C100" s="425">
        <v>12</v>
      </c>
      <c r="D100" s="437">
        <v>9000</v>
      </c>
      <c r="E100" s="435">
        <v>11275</v>
      </c>
      <c r="F100" s="433">
        <v>115.99</v>
      </c>
      <c r="G100" s="443">
        <v>135.83588900000001</v>
      </c>
      <c r="H100" s="443">
        <v>162.40785722503182</v>
      </c>
      <c r="I100" s="440">
        <v>1461670.7150252864</v>
      </c>
      <c r="J100" s="438">
        <v>29233.41430050573</v>
      </c>
      <c r="K100" s="438">
        <v>14616.707150252865</v>
      </c>
      <c r="L100" s="416"/>
      <c r="M100" s="416"/>
      <c r="N100" s="424"/>
      <c r="O100" s="416"/>
      <c r="P100" s="416"/>
      <c r="Q100" s="416"/>
      <c r="R100" s="416"/>
    </row>
    <row r="101" spans="2:18">
      <c r="B101" s="418">
        <v>2033</v>
      </c>
      <c r="C101" s="425">
        <v>13</v>
      </c>
      <c r="D101" s="437">
        <v>9000</v>
      </c>
      <c r="E101" s="435">
        <v>11275</v>
      </c>
      <c r="F101" s="433">
        <v>115.99</v>
      </c>
      <c r="G101" s="443">
        <v>135.83588900000001</v>
      </c>
      <c r="H101" s="443">
        <v>164.84397508340729</v>
      </c>
      <c r="I101" s="440">
        <v>1483595.7757506657</v>
      </c>
      <c r="J101" s="438">
        <v>29671.915515013316</v>
      </c>
      <c r="K101" s="438">
        <v>14835.957757506658</v>
      </c>
      <c r="L101" s="416"/>
      <c r="M101" s="416"/>
      <c r="N101" s="416"/>
      <c r="O101" s="416"/>
      <c r="P101" s="416"/>
      <c r="Q101" s="416"/>
      <c r="R101" s="416"/>
    </row>
    <row r="102" spans="2:18">
      <c r="B102" s="418">
        <v>2034</v>
      </c>
      <c r="C102" s="425">
        <v>14</v>
      </c>
      <c r="D102" s="437">
        <v>9000</v>
      </c>
      <c r="E102" s="435">
        <v>11275</v>
      </c>
      <c r="F102" s="433">
        <v>115.99</v>
      </c>
      <c r="G102" s="443">
        <v>135.83588900000001</v>
      </c>
      <c r="H102" s="443">
        <v>167.31663470965833</v>
      </c>
      <c r="I102" s="440">
        <v>1505849.712386925</v>
      </c>
      <c r="J102" s="438">
        <v>30116.994247738501</v>
      </c>
      <c r="K102" s="438">
        <v>15058.497123869251</v>
      </c>
      <c r="L102" s="416"/>
      <c r="M102" s="416"/>
      <c r="N102" s="416"/>
      <c r="O102" s="416"/>
      <c r="P102" s="416"/>
      <c r="Q102" s="416"/>
      <c r="R102" s="416"/>
    </row>
    <row r="103" spans="2:18">
      <c r="B103" s="418">
        <v>2035</v>
      </c>
      <c r="C103" s="425">
        <v>15</v>
      </c>
      <c r="D103" s="437">
        <v>9000</v>
      </c>
      <c r="E103" s="435">
        <v>11275</v>
      </c>
      <c r="F103" s="433">
        <v>115.99</v>
      </c>
      <c r="G103" s="443">
        <v>135.83588900000001</v>
      </c>
      <c r="H103" s="443">
        <v>169.8263842303032</v>
      </c>
      <c r="I103" s="440">
        <v>1528437.4580727289</v>
      </c>
      <c r="J103" s="438">
        <v>30568.74916145458</v>
      </c>
      <c r="K103" s="438">
        <v>15284.37458072729</v>
      </c>
      <c r="L103" s="416"/>
      <c r="M103" s="416"/>
      <c r="N103" s="416"/>
      <c r="O103" s="416"/>
      <c r="P103" s="416"/>
      <c r="Q103" s="416"/>
      <c r="R103" s="416"/>
    </row>
    <row r="104" spans="2:18">
      <c r="B104" s="418">
        <v>2036</v>
      </c>
      <c r="C104" s="425">
        <v>16</v>
      </c>
      <c r="D104" s="437">
        <v>9000</v>
      </c>
      <c r="E104" s="435">
        <v>11275</v>
      </c>
      <c r="F104" s="433">
        <v>115.99</v>
      </c>
      <c r="G104" s="443">
        <v>135.83588900000001</v>
      </c>
      <c r="H104" s="443">
        <v>172.37377999375772</v>
      </c>
      <c r="I104" s="440">
        <v>1551364.0199438196</v>
      </c>
      <c r="J104" s="438">
        <v>31027.280398876392</v>
      </c>
      <c r="K104" s="438">
        <v>15513.640199438196</v>
      </c>
      <c r="L104" s="416"/>
      <c r="M104" s="416"/>
      <c r="N104" s="416"/>
      <c r="O104" s="416"/>
      <c r="P104" s="416"/>
      <c r="Q104" s="416"/>
      <c r="R104" s="416"/>
    </row>
    <row r="105" spans="2:18">
      <c r="B105" s="418">
        <v>2037</v>
      </c>
      <c r="C105" s="425">
        <v>17</v>
      </c>
      <c r="D105" s="437">
        <v>9000</v>
      </c>
      <c r="E105" s="435">
        <v>11275</v>
      </c>
      <c r="F105" s="433">
        <v>115.99</v>
      </c>
      <c r="G105" s="443">
        <v>135.83588900000001</v>
      </c>
      <c r="H105" s="443">
        <v>174.95938669366407</v>
      </c>
      <c r="I105" s="440">
        <v>1574634.4802429767</v>
      </c>
      <c r="J105" s="438">
        <v>31492.689604859534</v>
      </c>
      <c r="K105" s="438">
        <v>15746.344802429767</v>
      </c>
      <c r="L105" s="416"/>
      <c r="M105" s="416"/>
      <c r="N105" s="416"/>
      <c r="O105" s="416"/>
      <c r="P105" s="416"/>
      <c r="Q105" s="416"/>
      <c r="R105" s="416"/>
    </row>
    <row r="106" spans="2:18">
      <c r="B106" s="418">
        <v>2038</v>
      </c>
      <c r="C106" s="425">
        <v>18</v>
      </c>
      <c r="D106" s="437">
        <v>9000</v>
      </c>
      <c r="E106" s="435">
        <v>11275</v>
      </c>
      <c r="F106" s="433">
        <v>115.99</v>
      </c>
      <c r="G106" s="443">
        <v>135.83588900000001</v>
      </c>
      <c r="H106" s="443">
        <v>177.58377749406901</v>
      </c>
      <c r="I106" s="440">
        <v>1598253.9974466211</v>
      </c>
      <c r="J106" s="438">
        <v>31965.079948932424</v>
      </c>
      <c r="K106" s="438">
        <v>15982.539974466212</v>
      </c>
      <c r="L106" s="416"/>
      <c r="M106" s="416"/>
      <c r="N106" s="416"/>
      <c r="O106" s="416"/>
      <c r="P106" s="416"/>
      <c r="Q106" s="416"/>
      <c r="R106" s="416"/>
    </row>
    <row r="107" spans="2:18">
      <c r="B107" s="418">
        <v>2039</v>
      </c>
      <c r="C107" s="425">
        <v>19</v>
      </c>
      <c r="D107" s="437">
        <v>9000</v>
      </c>
      <c r="E107" s="435">
        <v>11275</v>
      </c>
      <c r="F107" s="433">
        <v>115.99</v>
      </c>
      <c r="G107" s="443">
        <v>135.83588900000001</v>
      </c>
      <c r="H107" s="443">
        <v>180.24753415648004</v>
      </c>
      <c r="I107" s="440">
        <v>1622227.8074083205</v>
      </c>
      <c r="J107" s="438">
        <v>32444.556148166412</v>
      </c>
      <c r="K107" s="438">
        <v>16222.278074083206</v>
      </c>
      <c r="L107" s="416"/>
      <c r="M107" s="416"/>
      <c r="N107" s="416"/>
      <c r="O107" s="416"/>
      <c r="P107" s="416"/>
      <c r="Q107" s="416"/>
      <c r="R107" s="416"/>
    </row>
    <row r="108" spans="2:18" ht="15.75" thickBot="1">
      <c r="B108" s="418">
        <v>2040</v>
      </c>
      <c r="C108" s="419">
        <v>20</v>
      </c>
      <c r="D108" s="437">
        <v>9000</v>
      </c>
      <c r="E108" s="435">
        <v>11275</v>
      </c>
      <c r="F108" s="433">
        <v>115.99</v>
      </c>
      <c r="G108" s="443">
        <v>135.83588900000001</v>
      </c>
      <c r="H108" s="443">
        <v>182.95124716882717</v>
      </c>
      <c r="I108" s="450">
        <v>1646561.2245194444</v>
      </c>
      <c r="J108" s="451">
        <v>32931.224490388886</v>
      </c>
      <c r="K108" s="451">
        <v>16465.612245194443</v>
      </c>
      <c r="L108" s="416"/>
      <c r="M108" s="416"/>
      <c r="N108" s="416"/>
      <c r="O108" s="416"/>
      <c r="P108" s="416"/>
      <c r="Q108" s="416"/>
      <c r="R108" s="416"/>
    </row>
    <row r="109" spans="2:18" ht="15.75" thickBot="1">
      <c r="B109" s="702" t="s">
        <v>438</v>
      </c>
      <c r="C109" s="702"/>
      <c r="D109" s="702"/>
      <c r="E109" s="702"/>
      <c r="F109" s="702"/>
      <c r="G109" s="702"/>
      <c r="H109" s="702"/>
      <c r="I109" s="411">
        <v>24914552.655009989</v>
      </c>
      <c r="J109" s="412">
        <v>498291.05310019979</v>
      </c>
      <c r="K109" s="412">
        <v>249145.52655009989</v>
      </c>
      <c r="L109" s="416"/>
      <c r="M109" s="416"/>
      <c r="N109" s="416"/>
      <c r="O109" s="416"/>
      <c r="P109" s="416"/>
      <c r="Q109" s="416"/>
      <c r="R109" s="416"/>
    </row>
    <row r="110" spans="2:18" ht="15.75" thickTop="1">
      <c r="Q110" s="416"/>
    </row>
  </sheetData>
  <mergeCells count="11">
    <mergeCell ref="B109:H109"/>
    <mergeCell ref="B28:C28"/>
    <mergeCell ref="B60:I60"/>
    <mergeCell ref="B85:I85"/>
    <mergeCell ref="B86:I86"/>
    <mergeCell ref="B57:M57"/>
    <mergeCell ref="B83:H83"/>
    <mergeCell ref="B29:C29"/>
    <mergeCell ref="B33:I33"/>
    <mergeCell ref="B34:I34"/>
    <mergeCell ref="B59:I59"/>
  </mergeCells>
  <pageMargins left="0.7" right="0.7" top="0.75" bottom="0.75" header="0.3" footer="0.3"/>
  <pageSetup fitToHeight="0" orientation="landscape" r:id="rId1"/>
  <rowBreaks count="3" manualBreakCount="3">
    <brk id="31" max="16" man="1"/>
    <brk id="58" max="16" man="1"/>
    <brk id="8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2:AE77"/>
  <sheetViews>
    <sheetView tabSelected="1" zoomScale="70" zoomScaleNormal="70" zoomScaleSheetLayoutView="70" workbookViewId="0">
      <selection activeCell="C32" sqref="C32:F32"/>
    </sheetView>
  </sheetViews>
  <sheetFormatPr defaultColWidth="9.140625" defaultRowHeight="15"/>
  <cols>
    <col min="1" max="1" width="6.5703125" style="17" customWidth="1"/>
    <col min="2" max="9" width="15.7109375" style="17" customWidth="1"/>
    <col min="10" max="10" width="15.7109375" style="83" customWidth="1"/>
    <col min="11" max="11" width="15.7109375" style="17" customWidth="1"/>
    <col min="12" max="12" width="27" style="31" customWidth="1"/>
    <col min="13" max="13" width="26.140625" style="87" customWidth="1"/>
    <col min="14" max="14" width="23.5703125" style="87" bestFit="1" customWidth="1"/>
    <col min="15" max="15" width="20.42578125" style="87" bestFit="1" customWidth="1"/>
    <col min="16" max="16" width="23.5703125" style="87" bestFit="1" customWidth="1"/>
    <col min="17" max="17" width="20.42578125" style="87" bestFit="1" customWidth="1"/>
    <col min="18" max="18" width="23.5703125" style="87" bestFit="1" customWidth="1"/>
    <col min="19" max="19" width="23.42578125" style="31" customWidth="1"/>
    <col min="20" max="20" width="23.5703125" style="31" bestFit="1" customWidth="1"/>
    <col min="21" max="21" width="20.42578125" style="31" bestFit="1" customWidth="1"/>
    <col min="22" max="22" width="23.5703125" style="31" bestFit="1" customWidth="1"/>
    <col min="23" max="23" width="23.85546875" style="31" customWidth="1"/>
    <col min="24" max="24" width="6.5703125" style="31" customWidth="1"/>
    <col min="25" max="25" width="12.140625" style="31" bestFit="1" customWidth="1"/>
    <col min="26" max="26" width="23.5703125" style="31" bestFit="1" customWidth="1"/>
    <col min="27" max="27" width="12.140625" style="31" bestFit="1" customWidth="1"/>
    <col min="28" max="28" width="23.5703125" style="31" bestFit="1" customWidth="1"/>
    <col min="29" max="29" width="12.140625" style="31" bestFit="1" customWidth="1"/>
    <col min="30" max="30" width="23.5703125" style="17" bestFit="1" customWidth="1"/>
    <col min="31" max="31" width="12.140625" style="17" bestFit="1" customWidth="1"/>
    <col min="32" max="33" width="23.5703125" style="17" bestFit="1" customWidth="1"/>
    <col min="34" max="16384" width="9.140625" style="17"/>
  </cols>
  <sheetData>
    <row r="2" spans="2:29">
      <c r="B2" s="18" t="s">
        <v>19</v>
      </c>
    </row>
    <row r="3" spans="2:29" ht="15.75" thickBot="1"/>
    <row r="4" spans="2:29">
      <c r="B4" s="522" t="s">
        <v>0</v>
      </c>
      <c r="C4" s="522" t="s">
        <v>384</v>
      </c>
      <c r="D4" s="522" t="s">
        <v>397</v>
      </c>
      <c r="E4" s="522" t="s">
        <v>393</v>
      </c>
      <c r="F4" s="525" t="s">
        <v>394</v>
      </c>
      <c r="G4" s="525" t="s">
        <v>395</v>
      </c>
      <c r="H4" s="525" t="s">
        <v>383</v>
      </c>
      <c r="I4" s="522" t="s">
        <v>396</v>
      </c>
      <c r="J4" s="522" t="s">
        <v>247</v>
      </c>
      <c r="K4" s="114"/>
      <c r="L4" s="114"/>
      <c r="Q4" s="31"/>
      <c r="R4" s="31"/>
      <c r="AC4" s="17"/>
    </row>
    <row r="5" spans="2:29" ht="17.25">
      <c r="B5" s="523"/>
      <c r="C5" s="523"/>
      <c r="D5" s="523"/>
      <c r="E5" s="523"/>
      <c r="F5" s="526"/>
      <c r="G5" s="526"/>
      <c r="H5" s="526"/>
      <c r="I5" s="523"/>
      <c r="J5" s="523"/>
      <c r="K5" s="114"/>
      <c r="L5" s="27" t="s">
        <v>241</v>
      </c>
      <c r="AC5" s="17"/>
    </row>
    <row r="6" spans="2:29">
      <c r="B6" s="523"/>
      <c r="C6" s="523"/>
      <c r="D6" s="523"/>
      <c r="E6" s="523"/>
      <c r="F6" s="526"/>
      <c r="G6" s="526"/>
      <c r="H6" s="526"/>
      <c r="I6" s="523"/>
      <c r="J6" s="523"/>
      <c r="K6" s="114"/>
      <c r="L6" s="518" t="s">
        <v>18</v>
      </c>
      <c r="M6" s="257" t="s">
        <v>109</v>
      </c>
      <c r="N6" s="257" t="s">
        <v>110</v>
      </c>
      <c r="O6" s="257" t="s">
        <v>111</v>
      </c>
      <c r="P6" s="257" t="s">
        <v>214</v>
      </c>
      <c r="Q6" s="256"/>
      <c r="R6" s="256"/>
      <c r="AC6" s="17"/>
    </row>
    <row r="7" spans="2:29">
      <c r="B7" s="523"/>
      <c r="C7" s="523"/>
      <c r="D7" s="523"/>
      <c r="E7" s="523"/>
      <c r="F7" s="526"/>
      <c r="G7" s="526"/>
      <c r="H7" s="526"/>
      <c r="I7" s="523"/>
      <c r="J7" s="523"/>
      <c r="K7" s="114"/>
      <c r="L7" s="519"/>
      <c r="M7" s="76" t="s">
        <v>95</v>
      </c>
      <c r="N7" s="76" t="s">
        <v>95</v>
      </c>
      <c r="O7" s="76" t="s">
        <v>95</v>
      </c>
      <c r="P7" s="32"/>
      <c r="Q7" s="31"/>
      <c r="R7" s="31"/>
      <c r="AC7" s="17"/>
    </row>
    <row r="8" spans="2:29">
      <c r="B8" s="523"/>
      <c r="C8" s="523"/>
      <c r="D8" s="523"/>
      <c r="E8" s="523"/>
      <c r="F8" s="526"/>
      <c r="G8" s="526"/>
      <c r="H8" s="526"/>
      <c r="I8" s="523"/>
      <c r="J8" s="523"/>
      <c r="K8" s="114"/>
      <c r="L8" s="32" t="s">
        <v>134</v>
      </c>
      <c r="M8" s="188">
        <f>'Crash Analysis'!B147</f>
        <v>0</v>
      </c>
      <c r="N8" s="188">
        <f>'Crash Analysis'!C147</f>
        <v>0</v>
      </c>
      <c r="O8" s="188">
        <f>'Crash Analysis'!D147</f>
        <v>1</v>
      </c>
      <c r="P8" s="258">
        <f>SUM(M8:O8)/3</f>
        <v>0.33333333333333331</v>
      </c>
      <c r="Q8" s="17"/>
      <c r="R8" s="17"/>
      <c r="AC8" s="17"/>
    </row>
    <row r="9" spans="2:29" ht="15.75" thickBot="1">
      <c r="B9" s="524"/>
      <c r="C9" s="524"/>
      <c r="D9" s="524"/>
      <c r="E9" s="524"/>
      <c r="F9" s="527"/>
      <c r="G9" s="527"/>
      <c r="H9" s="527"/>
      <c r="I9" s="524"/>
      <c r="J9" s="524"/>
      <c r="K9" s="114"/>
      <c r="L9" s="47" t="s">
        <v>135</v>
      </c>
      <c r="M9" s="192">
        <f>'Crash Analysis'!B148</f>
        <v>2</v>
      </c>
      <c r="N9" s="188">
        <f>'Crash Analysis'!C148</f>
        <v>3</v>
      </c>
      <c r="O9" s="188">
        <f>'Crash Analysis'!D148</f>
        <v>1</v>
      </c>
      <c r="P9" s="258">
        <f t="shared" ref="P9:P12" si="0">SUM(M9:O9)/3</f>
        <v>2</v>
      </c>
      <c r="Q9" s="17"/>
      <c r="R9" s="17"/>
      <c r="AB9" s="17"/>
      <c r="AC9" s="17"/>
    </row>
    <row r="10" spans="2:29">
      <c r="B10" s="116">
        <v>2020</v>
      </c>
      <c r="C10" s="128">
        <f>(SUM(($P$8*$M$25),($P$9*$M$26),($P$10*$M$27),($P$11*$M$28),($P$12,$M$29)))*((1 +0.02)^($B10-2020))</f>
        <v>3690204.0861333339</v>
      </c>
      <c r="D10" s="127">
        <v>0</v>
      </c>
      <c r="E10" s="128">
        <v>0</v>
      </c>
      <c r="F10" s="126">
        <v>0</v>
      </c>
      <c r="G10" s="127">
        <v>0</v>
      </c>
      <c r="H10" s="127">
        <f t="shared" ref="H10:H30" si="1">C10-SUM(D10:G10)</f>
        <v>3690204.0861333339</v>
      </c>
      <c r="I10" s="128">
        <f t="shared" ref="I10:I30" si="2">C10-H10</f>
        <v>0</v>
      </c>
      <c r="J10" s="102">
        <f>I10*(1+0.07)^-(B10-2020)</f>
        <v>0</v>
      </c>
      <c r="K10" s="115"/>
      <c r="L10" s="84" t="s">
        <v>137</v>
      </c>
      <c r="M10" s="192">
        <f>'Crash Analysis'!B149</f>
        <v>10</v>
      </c>
      <c r="N10" s="188">
        <f>'Crash Analysis'!C149</f>
        <v>6</v>
      </c>
      <c r="O10" s="188">
        <f>'Crash Analysis'!D149</f>
        <v>15</v>
      </c>
      <c r="P10" s="258">
        <f t="shared" si="0"/>
        <v>10.333333333333334</v>
      </c>
      <c r="Q10" s="17"/>
      <c r="R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2:29">
      <c r="B11" s="117">
        <f>+B10+1</f>
        <v>2021</v>
      </c>
      <c r="C11" s="128">
        <f>(SUM(($P$8*$M$25),($P$9*$M$26),($P$10*$M$27),($P$11*$M$28),($P$12,$M$29)))*((1 +0.02)^($B11-2020))</f>
        <v>3764008.1678560008</v>
      </c>
      <c r="D11" s="127">
        <v>0</v>
      </c>
      <c r="E11" s="128">
        <v>0</v>
      </c>
      <c r="F11" s="126">
        <v>0</v>
      </c>
      <c r="G11" s="127">
        <v>0</v>
      </c>
      <c r="H11" s="127">
        <f t="shared" si="1"/>
        <v>3764008.1678560008</v>
      </c>
      <c r="I11" s="128">
        <f t="shared" si="2"/>
        <v>0</v>
      </c>
      <c r="J11" s="102">
        <f t="shared" ref="J11:J30" si="3">I11*(1+0.07)^-(B11-2020)</f>
        <v>0</v>
      </c>
      <c r="K11" s="115"/>
      <c r="L11" s="85" t="s">
        <v>138</v>
      </c>
      <c r="M11" s="192">
        <f>'Crash Analysis'!B150</f>
        <v>36</v>
      </c>
      <c r="N11" s="188">
        <f>'Crash Analysis'!C150</f>
        <v>35</v>
      </c>
      <c r="O11" s="188">
        <f>'Crash Analysis'!D150</f>
        <v>54</v>
      </c>
      <c r="P11" s="258">
        <f t="shared" si="0"/>
        <v>41.666666666666664</v>
      </c>
      <c r="Q11" s="17"/>
      <c r="R11" s="17"/>
      <c r="V11" s="17"/>
      <c r="W11" s="17"/>
      <c r="X11" s="17"/>
      <c r="Y11" s="17"/>
      <c r="Z11" s="17"/>
      <c r="AA11" s="17"/>
      <c r="AB11" s="17"/>
      <c r="AC11" s="17"/>
    </row>
    <row r="12" spans="2:29">
      <c r="B12" s="117">
        <f t="shared" ref="B12:B29" si="4">+B11+1</f>
        <v>2022</v>
      </c>
      <c r="C12" s="128">
        <f>(SUM(($P$8*$M$25),($P$9*$M$26),($P$10*$M$27),($P$11*$M$28),($P$12,$M$29)))*((1 +0.02)^($B12-2020))</f>
        <v>3839288.3312131204</v>
      </c>
      <c r="D12" s="127">
        <v>0</v>
      </c>
      <c r="E12" s="128">
        <v>0</v>
      </c>
      <c r="F12" s="126">
        <v>0</v>
      </c>
      <c r="G12" s="127">
        <v>0</v>
      </c>
      <c r="H12" s="127">
        <f t="shared" si="1"/>
        <v>3839288.3312131204</v>
      </c>
      <c r="I12" s="128">
        <f t="shared" si="2"/>
        <v>0</v>
      </c>
      <c r="J12" s="102">
        <f t="shared" si="3"/>
        <v>0</v>
      </c>
      <c r="K12" s="115"/>
      <c r="L12" s="32" t="s">
        <v>136</v>
      </c>
      <c r="M12" s="192">
        <f>'Crash Analysis'!B151</f>
        <v>144</v>
      </c>
      <c r="N12" s="33">
        <f>'Crash Analysis'!C151</f>
        <v>148</v>
      </c>
      <c r="O12" s="33">
        <f>'Crash Analysis'!D151</f>
        <v>156</v>
      </c>
      <c r="P12" s="258">
        <f t="shared" si="0"/>
        <v>149.33333333333334</v>
      </c>
      <c r="Q12" s="17"/>
      <c r="R12" s="17"/>
      <c r="V12" s="17"/>
      <c r="W12" s="17"/>
      <c r="X12" s="17"/>
      <c r="Y12" s="17"/>
      <c r="Z12" s="17"/>
      <c r="AA12" s="17"/>
      <c r="AB12" s="17"/>
      <c r="AC12" s="17"/>
    </row>
    <row r="13" spans="2:29">
      <c r="B13" s="117">
        <f t="shared" si="4"/>
        <v>2023</v>
      </c>
      <c r="C13" s="128">
        <f>(SUM(($P$8*$M$25),($P$9*$M$26),($P$10*$M$27),($P$11*$M$28),($P$12,$M$29)))*((1 +0.02)^($B13-2020))</f>
        <v>3916074.0978373825</v>
      </c>
      <c r="D13" s="127">
        <v>0</v>
      </c>
      <c r="E13" s="128">
        <v>0</v>
      </c>
      <c r="F13" s="126">
        <v>0</v>
      </c>
      <c r="G13" s="127">
        <v>0</v>
      </c>
      <c r="H13" s="127">
        <f t="shared" si="1"/>
        <v>3916074.0978373825</v>
      </c>
      <c r="I13" s="128">
        <f t="shared" si="2"/>
        <v>0</v>
      </c>
      <c r="J13" s="102">
        <f t="shared" si="3"/>
        <v>0</v>
      </c>
      <c r="K13" s="115"/>
      <c r="L13" s="25"/>
      <c r="M13" s="90"/>
      <c r="N13" s="185"/>
      <c r="O13" s="90"/>
      <c r="P13" s="185"/>
      <c r="Q13" s="90"/>
      <c r="R13" s="185"/>
      <c r="V13" s="17"/>
      <c r="W13" s="17"/>
      <c r="X13" s="17"/>
      <c r="Y13" s="17"/>
      <c r="Z13" s="17"/>
      <c r="AA13" s="17"/>
      <c r="AB13" s="17"/>
      <c r="AC13" s="17"/>
    </row>
    <row r="14" spans="2:29" ht="15" customHeight="1">
      <c r="B14" s="117">
        <f t="shared" si="4"/>
        <v>2024</v>
      </c>
      <c r="C14" s="128">
        <f>(SUM(($P$8*$M$25),($P$9*$M$26),($P$10*$M$27),($P$11*$M$28),($P$12,$M$29)))*((1 +0.02)^($B14-2020))</f>
        <v>3994395.5797941308</v>
      </c>
      <c r="D14" s="127">
        <v>0</v>
      </c>
      <c r="E14" s="128">
        <v>0</v>
      </c>
      <c r="F14" s="126">
        <v>0</v>
      </c>
      <c r="G14" s="127">
        <v>0</v>
      </c>
      <c r="H14" s="127">
        <f t="shared" si="1"/>
        <v>3994395.5797941308</v>
      </c>
      <c r="I14" s="128">
        <f t="shared" si="2"/>
        <v>0</v>
      </c>
      <c r="J14" s="102">
        <f t="shared" si="3"/>
        <v>0</v>
      </c>
      <c r="K14" s="115"/>
      <c r="L14" s="27" t="s">
        <v>319</v>
      </c>
      <c r="M14" s="17"/>
      <c r="N14" s="17"/>
      <c r="O14" s="17"/>
      <c r="P14" s="17"/>
      <c r="Q14" s="17"/>
      <c r="R14" s="17"/>
      <c r="V14" s="17"/>
      <c r="W14" s="17"/>
      <c r="X14" s="17"/>
      <c r="Y14" s="17"/>
      <c r="Z14" s="17"/>
      <c r="AA14" s="17"/>
      <c r="AB14" s="17"/>
      <c r="AC14" s="17"/>
    </row>
    <row r="15" spans="2:29">
      <c r="B15" s="117">
        <f>+B14+1</f>
        <v>2025</v>
      </c>
      <c r="C15" s="128">
        <f>(SUM(($P$8*$M$25),($P$9*$M$26),($P$10*$M$27),($P$11*$M$28),($P$12,$M$29)))*((1 +0.02)^($B15-2020))</f>
        <v>4074283.4913900131</v>
      </c>
      <c r="D15" s="127">
        <f>(SUM(($M$17*$M$25),($M$18*$M$26),($M$19*$M$27),($M$20*$M$28),($M$21*$M$29))*(1-$R$25))*((1+0.02)^(B15-2020))</f>
        <v>1754984.4121038292</v>
      </c>
      <c r="E15" s="128">
        <v>0</v>
      </c>
      <c r="F15" s="126">
        <v>0</v>
      </c>
      <c r="G15" s="127">
        <v>0</v>
      </c>
      <c r="H15" s="127">
        <f>C15-SUM(D15:G15)</f>
        <v>2319299.0792861842</v>
      </c>
      <c r="I15" s="128">
        <f>C15-H15</f>
        <v>1754984.412103829</v>
      </c>
      <c r="J15" s="102">
        <f t="shared" si="3"/>
        <v>1251279.6310393009</v>
      </c>
      <c r="K15" s="115"/>
      <c r="L15" s="520" t="s">
        <v>18</v>
      </c>
      <c r="M15" s="533" t="s">
        <v>331</v>
      </c>
      <c r="N15" s="533" t="s">
        <v>332</v>
      </c>
      <c r="O15" s="533" t="s">
        <v>333</v>
      </c>
      <c r="P15" s="533" t="s">
        <v>334</v>
      </c>
      <c r="Q15" s="17"/>
      <c r="R15" s="17"/>
      <c r="V15" s="17"/>
      <c r="W15" s="17"/>
      <c r="X15" s="17"/>
      <c r="Y15" s="17"/>
      <c r="Z15" s="17"/>
      <c r="AA15" s="17"/>
      <c r="AB15" s="17"/>
      <c r="AC15" s="17"/>
    </row>
    <row r="16" spans="2:29">
      <c r="B16" s="117">
        <f>+B15+1</f>
        <v>2026</v>
      </c>
      <c r="C16" s="128">
        <f>(SUM(($P$8*$M$25),($P$9*$M$26),($P$10*$M$27),($P$11*$M$28),($P$12,$M$29)))*((1 +0.02)^($B16-2020))</f>
        <v>4155769.1612178138</v>
      </c>
      <c r="D16" s="127">
        <f t="shared" ref="D16:D30" si="5">(SUM(($M$17*$M$25),($M$18*$M$26),($M$19*$M$27),($M$20*$M$28),($M$21*$M$29))*(1-$R$25))*((1+0.02)^(B16-2020))</f>
        <v>1790084.1003459059</v>
      </c>
      <c r="E16" s="128">
        <v>0</v>
      </c>
      <c r="F16" s="126">
        <v>0</v>
      </c>
      <c r="G16" s="127">
        <v>0</v>
      </c>
      <c r="H16" s="127">
        <f t="shared" si="1"/>
        <v>2365685.060871908</v>
      </c>
      <c r="I16" s="128">
        <f t="shared" si="2"/>
        <v>1790084.1003459059</v>
      </c>
      <c r="J16" s="102">
        <f t="shared" si="3"/>
        <v>1192808.620243072</v>
      </c>
      <c r="K16" s="115"/>
      <c r="L16" s="521"/>
      <c r="M16" s="534"/>
      <c r="N16" s="534"/>
      <c r="O16" s="534"/>
      <c r="P16" s="534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2:30" s="83" customFormat="1" ht="15" customHeight="1">
      <c r="B17" s="117">
        <f t="shared" si="4"/>
        <v>2027</v>
      </c>
      <c r="C17" s="128">
        <f>(SUM(($P$8*$M$25),($P$9*$M$26),($P$10*$M$27),($P$11*$M$28),($P$12,$M$29)))*((1 +0.02)^($B17-2020))</f>
        <v>4238884.5444421694</v>
      </c>
      <c r="D17" s="127">
        <f t="shared" si="5"/>
        <v>1825885.7823528235</v>
      </c>
      <c r="E17" s="128">
        <f>(SUM(($N$17*$M$25),($N$18*$M$26),($N$19*$M$27),($N$20*$M$28),($N$21*$M$29))*(1-$R$26))*((1+0.02)^(B17-2020))</f>
        <v>11077.091513673962</v>
      </c>
      <c r="F17" s="126">
        <f>(SUM(($O$17*$M$25),($O$18*$M$26),($O$19*$M$27),($O$20*$M$28),($O$21*$M$29))*((1-$R$28)))*((1+0.02)^(B17-2020))</f>
        <v>220013.69508189303</v>
      </c>
      <c r="G17" s="127">
        <f>(SUM(($P$17*$M$25),($P$18*$M$26),($P$19*$M$27),($P$20*$M$28),($P$21*$M$29))*(1-$R$28))*((1+0.02)^(B17-2020))</f>
        <v>352211.4351920645</v>
      </c>
      <c r="H17" s="127">
        <f t="shared" si="1"/>
        <v>1829696.5403017141</v>
      </c>
      <c r="I17" s="128">
        <f t="shared" si="2"/>
        <v>2409188.0041404553</v>
      </c>
      <c r="J17" s="102">
        <f t="shared" si="3"/>
        <v>1500321.2077299217</v>
      </c>
      <c r="K17" s="115"/>
      <c r="L17" s="32" t="s">
        <v>134</v>
      </c>
      <c r="M17" s="69">
        <f>'Crash Analysis'!E44</f>
        <v>0.33333333333333331</v>
      </c>
      <c r="N17" s="69">
        <f>'Crash Analysis'!E81</f>
        <v>0</v>
      </c>
      <c r="O17" s="69">
        <f>'Crash Analysis'!E110</f>
        <v>0</v>
      </c>
      <c r="P17" s="69">
        <f>'Crash Analysis'!E138</f>
        <v>0</v>
      </c>
      <c r="Q17" s="17"/>
      <c r="R17" s="17"/>
      <c r="S17" s="106"/>
      <c r="T17" s="106"/>
      <c r="U17" s="106"/>
      <c r="V17" s="106"/>
      <c r="W17" s="106"/>
      <c r="X17" s="107"/>
    </row>
    <row r="18" spans="2:30" ht="15" customHeight="1">
      <c r="B18" s="117">
        <f t="shared" si="4"/>
        <v>2028</v>
      </c>
      <c r="C18" s="128">
        <f>(SUM(($P$8*$M$25),($P$9*$M$26),($P$10*$M$27),($P$11*$M$28),($P$12,$M$29)))*((1 +0.02)^($B18-2020))</f>
        <v>4323662.2353310129</v>
      </c>
      <c r="D18" s="127">
        <f t="shared" si="5"/>
        <v>1862403.4979998802</v>
      </c>
      <c r="E18" s="128">
        <f t="shared" ref="E18:E30" si="6">(SUM(($N$17*$M$25),($N$18*$M$26),($N$19*$M$27),($N$20*$M$28),($N$21*$M$29))*(1-$R$26))*((1+0.02)^(B18-2020))</f>
        <v>11298.633343947442</v>
      </c>
      <c r="F18" s="126">
        <f t="shared" ref="F18:F30" si="7">(SUM(($O$17*$M$25),($O$18*$M$26),($O$19*$M$27),($O$20*$M$28),($O$21*$M$29))*((1-$R$28)))*((1+0.02)^(B18-2020))</f>
        <v>224413.96898353091</v>
      </c>
      <c r="G18" s="127">
        <f t="shared" ref="G18:G30" si="8">(SUM(($P$17*$M$25),($P$18*$M$26),($P$19*$M$27),($P$20*$M$28),($P$21*$M$29))*(1-$R$28))*((1+0.02)^(B18-2020))</f>
        <v>359255.66389590583</v>
      </c>
      <c r="H18" s="127">
        <f t="shared" si="1"/>
        <v>1866290.4711077483</v>
      </c>
      <c r="I18" s="128">
        <f t="shared" si="2"/>
        <v>2457371.7642232645</v>
      </c>
      <c r="J18" s="102">
        <f t="shared" si="3"/>
        <v>1430212.7400789908</v>
      </c>
      <c r="K18" s="115"/>
      <c r="L18" s="195" t="s">
        <v>135</v>
      </c>
      <c r="M18" s="69">
        <f>'Crash Analysis'!E45</f>
        <v>1</v>
      </c>
      <c r="N18" s="69">
        <f>'Crash Analysis'!E82</f>
        <v>0</v>
      </c>
      <c r="O18" s="69">
        <f>'Crash Analysis'!E111</f>
        <v>0.33333333333333331</v>
      </c>
      <c r="P18" s="69">
        <f>'Crash Analysis'!E139</f>
        <v>0.66666666666666663</v>
      </c>
      <c r="Q18" s="17"/>
      <c r="R18" s="17"/>
      <c r="X18" s="106"/>
      <c r="Y18" s="106"/>
      <c r="AD18" s="31"/>
    </row>
    <row r="19" spans="2:30">
      <c r="B19" s="117">
        <f t="shared" si="4"/>
        <v>2029</v>
      </c>
      <c r="C19" s="128">
        <f>(SUM(($P$8*$M$25),($P$9*$M$26),($P$10*$M$27),($P$11*$M$28),($P$12,$M$29)))*((1 +0.02)^($B19-2020))</f>
        <v>4410135.4800376333</v>
      </c>
      <c r="D19" s="127">
        <f t="shared" si="5"/>
        <v>1899651.5679598779</v>
      </c>
      <c r="E19" s="128">
        <f t="shared" si="6"/>
        <v>11524.606010826392</v>
      </c>
      <c r="F19" s="126">
        <f t="shared" si="7"/>
        <v>228902.24836320154</v>
      </c>
      <c r="G19" s="127">
        <f t="shared" si="8"/>
        <v>366440.77717382397</v>
      </c>
      <c r="H19" s="127">
        <f t="shared" si="1"/>
        <v>1903616.2805299032</v>
      </c>
      <c r="I19" s="128">
        <f t="shared" si="2"/>
        <v>2506519.1995077301</v>
      </c>
      <c r="J19" s="102">
        <f t="shared" si="3"/>
        <v>1363380.3690472625</v>
      </c>
      <c r="K19" s="115"/>
      <c r="L19" s="84" t="s">
        <v>137</v>
      </c>
      <c r="M19" s="69">
        <f>'Crash Analysis'!E46</f>
        <v>5</v>
      </c>
      <c r="N19" s="69">
        <f>'Crash Analysis'!E83</f>
        <v>0</v>
      </c>
      <c r="O19" s="69">
        <f>'Crash Analysis'!E112</f>
        <v>2</v>
      </c>
      <c r="P19" s="69">
        <f>'Crash Analysis'!E140</f>
        <v>3.3333333333333335</v>
      </c>
      <c r="Q19" s="17"/>
      <c r="R19" s="17"/>
      <c r="AC19" s="17"/>
    </row>
    <row r="20" spans="2:30">
      <c r="B20" s="117">
        <f t="shared" si="4"/>
        <v>2030</v>
      </c>
      <c r="C20" s="128">
        <f>(SUM(($P$8*$M$25),($P$9*$M$26),($P$10*$M$27),($P$11*$M$28),($P$12,$M$29)))*((1 +0.02)^($B20-2020))</f>
        <v>4498338.1896383855</v>
      </c>
      <c r="D20" s="127">
        <f t="shared" si="5"/>
        <v>1937644.5993190755</v>
      </c>
      <c r="E20" s="128">
        <f t="shared" si="6"/>
        <v>11755.09813104292</v>
      </c>
      <c r="F20" s="126">
        <f t="shared" si="7"/>
        <v>233480.29333046556</v>
      </c>
      <c r="G20" s="127">
        <f t="shared" si="8"/>
        <v>373769.59271730046</v>
      </c>
      <c r="H20" s="127">
        <f t="shared" si="1"/>
        <v>1941688.6061405009</v>
      </c>
      <c r="I20" s="128">
        <f t="shared" si="2"/>
        <v>2556649.5834978847</v>
      </c>
      <c r="J20" s="102">
        <f t="shared" si="3"/>
        <v>1299671.0060076707</v>
      </c>
      <c r="K20" s="115"/>
      <c r="L20" s="85" t="s">
        <v>138</v>
      </c>
      <c r="M20" s="69">
        <f>'Crash Analysis'!E47</f>
        <v>21</v>
      </c>
      <c r="N20" s="69">
        <f>'Crash Analysis'!E84</f>
        <v>0</v>
      </c>
      <c r="O20" s="69">
        <f>'Crash Analysis'!E113</f>
        <v>8.6666666666666661</v>
      </c>
      <c r="P20" s="69">
        <f>'Crash Analysis'!E141</f>
        <v>12</v>
      </c>
      <c r="Q20" s="17"/>
      <c r="R20" s="17"/>
      <c r="Y20" s="17"/>
      <c r="Z20" s="17"/>
      <c r="AA20" s="17"/>
      <c r="AB20" s="17"/>
      <c r="AC20" s="17"/>
    </row>
    <row r="21" spans="2:30">
      <c r="B21" s="117">
        <f t="shared" si="4"/>
        <v>2031</v>
      </c>
      <c r="C21" s="128">
        <f>(SUM(($P$8*$M$25),($P$9*$M$26),($P$10*$M$27),($P$11*$M$28),($P$12,$M$29)))*((1 +0.02)^($B21-2020))</f>
        <v>4588304.9534311527</v>
      </c>
      <c r="D21" s="127">
        <f t="shared" si="5"/>
        <v>1976397.4913054567</v>
      </c>
      <c r="E21" s="128">
        <f t="shared" si="6"/>
        <v>11990.200093663776</v>
      </c>
      <c r="F21" s="126">
        <f t="shared" si="7"/>
        <v>238149.89919707485</v>
      </c>
      <c r="G21" s="127">
        <f t="shared" si="8"/>
        <v>381244.98457164638</v>
      </c>
      <c r="H21" s="127">
        <f t="shared" si="1"/>
        <v>1980522.378263311</v>
      </c>
      <c r="I21" s="128">
        <f t="shared" si="2"/>
        <v>2607782.5751678417</v>
      </c>
      <c r="J21" s="102">
        <f t="shared" si="3"/>
        <v>1238938.7160073118</v>
      </c>
      <c r="K21" s="115"/>
      <c r="L21" s="32" t="s">
        <v>136</v>
      </c>
      <c r="M21" s="69">
        <f>'Crash Analysis'!E48</f>
        <v>75.333333333333329</v>
      </c>
      <c r="N21" s="69">
        <f>'Crash Analysis'!E85</f>
        <v>27.666666666666668</v>
      </c>
      <c r="O21" s="69">
        <f>'Crash Analysis'!E114</f>
        <v>19</v>
      </c>
      <c r="P21" s="69">
        <f>'Crash Analysis'!E142</f>
        <v>27.333333333333332</v>
      </c>
      <c r="Q21" s="31"/>
      <c r="R21" s="31"/>
      <c r="V21" s="17"/>
      <c r="W21" s="17"/>
      <c r="X21" s="17"/>
      <c r="Y21" s="17"/>
      <c r="Z21" s="17"/>
      <c r="AA21" s="17"/>
      <c r="AB21" s="17"/>
      <c r="AC21" s="17"/>
    </row>
    <row r="22" spans="2:30">
      <c r="B22" s="117">
        <f t="shared" si="4"/>
        <v>2032</v>
      </c>
      <c r="C22" s="128">
        <f>(SUM(($P$8*$M$25),($P$9*$M$26),($P$10*$M$27),($P$11*$M$28),($P$12,$M$29)))*((1 +0.02)^($B22-2020))</f>
        <v>4680071.0524997767</v>
      </c>
      <c r="D22" s="127">
        <f t="shared" si="5"/>
        <v>2015925.4411315662</v>
      </c>
      <c r="E22" s="128">
        <f t="shared" si="6"/>
        <v>12230.004095537053</v>
      </c>
      <c r="F22" s="126">
        <f t="shared" si="7"/>
        <v>242912.89718101636</v>
      </c>
      <c r="G22" s="127">
        <f t="shared" si="8"/>
        <v>388869.88426307938</v>
      </c>
      <c r="H22" s="127">
        <f t="shared" si="1"/>
        <v>2020132.8258285774</v>
      </c>
      <c r="I22" s="128">
        <f t="shared" si="2"/>
        <v>2659938.2266711993</v>
      </c>
      <c r="J22" s="102">
        <f t="shared" si="3"/>
        <v>1181044.3834836062</v>
      </c>
      <c r="K22" s="115"/>
      <c r="L22" s="17"/>
      <c r="M22" s="17"/>
      <c r="N22" s="17"/>
      <c r="O22" s="17"/>
      <c r="P22" s="17"/>
      <c r="Q22" s="17"/>
      <c r="R22" s="31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2:30" ht="17.25">
      <c r="B23" s="117">
        <f t="shared" si="4"/>
        <v>2033</v>
      </c>
      <c r="C23" s="128">
        <f>(SUM(($P$8*$M$25),($P$9*$M$26),($P$10*$M$27),($P$11*$M$28),($P$12,$M$29)))*((1 +0.02)^($B23-2020))</f>
        <v>4773672.4735497721</v>
      </c>
      <c r="D23" s="127">
        <f t="shared" si="5"/>
        <v>2056243.9499541973</v>
      </c>
      <c r="E23" s="128">
        <f t="shared" si="6"/>
        <v>12474.604177447794</v>
      </c>
      <c r="F23" s="126">
        <f t="shared" si="7"/>
        <v>247771.15512463669</v>
      </c>
      <c r="G23" s="127">
        <f t="shared" si="8"/>
        <v>396647.28194834094</v>
      </c>
      <c r="H23" s="127">
        <f t="shared" si="1"/>
        <v>2060535.4823451494</v>
      </c>
      <c r="I23" s="128">
        <f t="shared" si="2"/>
        <v>2713136.9912046227</v>
      </c>
      <c r="J23" s="102">
        <f t="shared" si="3"/>
        <v>1125855.3936011943</v>
      </c>
      <c r="K23" s="115"/>
      <c r="L23" s="27" t="s">
        <v>320</v>
      </c>
      <c r="M23" s="89"/>
      <c r="O23" s="40" t="s">
        <v>321</v>
      </c>
      <c r="R23" s="31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2:30">
      <c r="B24" s="117">
        <f t="shared" si="4"/>
        <v>2034</v>
      </c>
      <c r="C24" s="128">
        <f>(SUM(($P$8*$M$25),($P$9*$M$26),($P$10*$M$27),($P$11*$M$28),($P$12,$M$29)))*((1 +0.02)^($B24-2020))</f>
        <v>4869145.923020768</v>
      </c>
      <c r="D24" s="127">
        <f t="shared" si="5"/>
        <v>2097368.8289532815</v>
      </c>
      <c r="E24" s="128">
        <f t="shared" si="6"/>
        <v>12724.09626099675</v>
      </c>
      <c r="F24" s="126">
        <f t="shared" si="7"/>
        <v>252726.57822712944</v>
      </c>
      <c r="G24" s="127">
        <f t="shared" si="8"/>
        <v>404580.2275873078</v>
      </c>
      <c r="H24" s="127">
        <f t="shared" si="1"/>
        <v>2101746.1919920528</v>
      </c>
      <c r="I24" s="128">
        <f t="shared" si="2"/>
        <v>2767399.7310287151</v>
      </c>
      <c r="J24" s="102">
        <f t="shared" si="3"/>
        <v>1073245.3284796432</v>
      </c>
      <c r="K24" s="115"/>
      <c r="L24" s="86" t="s">
        <v>18</v>
      </c>
      <c r="M24" s="76" t="s">
        <v>324</v>
      </c>
      <c r="O24" s="76" t="s">
        <v>290</v>
      </c>
      <c r="P24" s="76" t="s">
        <v>220</v>
      </c>
      <c r="Q24" s="76" t="s">
        <v>218</v>
      </c>
      <c r="R24" s="86" t="s">
        <v>219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2:30">
      <c r="B25" s="117">
        <f t="shared" si="4"/>
        <v>2035</v>
      </c>
      <c r="C25" s="128">
        <f>(SUM(($P$8*$M$25),($P$9*$M$26),($P$10*$M$27),($P$11*$M$28),($P$12,$M$29)))*((1 +0.02)^($B25-2020))</f>
        <v>4966528.8414811818</v>
      </c>
      <c r="D25" s="127">
        <f t="shared" si="5"/>
        <v>2139316.2055323464</v>
      </c>
      <c r="E25" s="128">
        <f t="shared" si="6"/>
        <v>12978.578186216682</v>
      </c>
      <c r="F25" s="126">
        <f t="shared" si="7"/>
        <v>257781.10979167197</v>
      </c>
      <c r="G25" s="127">
        <f t="shared" si="8"/>
        <v>412671.83213905385</v>
      </c>
      <c r="H25" s="127">
        <f t="shared" si="1"/>
        <v>2143781.1158318929</v>
      </c>
      <c r="I25" s="128">
        <f t="shared" si="2"/>
        <v>2822747.7256492889</v>
      </c>
      <c r="J25" s="102">
        <f t="shared" si="3"/>
        <v>1023093.6776161082</v>
      </c>
      <c r="K25" s="115"/>
      <c r="L25" s="32" t="s">
        <v>134</v>
      </c>
      <c r="M25" s="48">
        <f>1547822*M45</f>
        <v>1585588.8568</v>
      </c>
      <c r="O25" s="337" t="s">
        <v>146</v>
      </c>
      <c r="P25" s="192" t="s">
        <v>222</v>
      </c>
      <c r="Q25" s="349" t="s">
        <v>221</v>
      </c>
      <c r="R25" s="69">
        <f>R34*R37</f>
        <v>0.39219999999999999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2:30">
      <c r="B26" s="117">
        <f t="shared" si="4"/>
        <v>2036</v>
      </c>
      <c r="C26" s="128">
        <f>(SUM(($P$8*$M$25),($P$9*$M$26),($P$10*$M$27),($P$11*$M$28),($P$12,$M$29)))*((1 +0.02)^($B26-2020))</f>
        <v>5065859.4183108062</v>
      </c>
      <c r="D26" s="127">
        <f t="shared" si="5"/>
        <v>2182102.5296429936</v>
      </c>
      <c r="E26" s="128">
        <f t="shared" si="6"/>
        <v>13238.149749941018</v>
      </c>
      <c r="F26" s="126">
        <f t="shared" si="7"/>
        <v>262936.73198750545</v>
      </c>
      <c r="G26" s="127">
        <f t="shared" si="8"/>
        <v>420925.26878183498</v>
      </c>
      <c r="H26" s="127">
        <f t="shared" si="1"/>
        <v>2186656.7381485309</v>
      </c>
      <c r="I26" s="128">
        <f t="shared" si="2"/>
        <v>2879202.6801622752</v>
      </c>
      <c r="J26" s="102">
        <f t="shared" si="3"/>
        <v>975285.56183965493</v>
      </c>
      <c r="K26" s="115"/>
      <c r="L26" s="47" t="s">
        <v>135</v>
      </c>
      <c r="M26" s="48">
        <f>400758*M45</f>
        <v>410536.4952</v>
      </c>
      <c r="O26" s="337" t="s">
        <v>147</v>
      </c>
      <c r="P26" s="192">
        <v>3</v>
      </c>
      <c r="Q26" s="192">
        <v>0.95</v>
      </c>
      <c r="R26" s="69">
        <v>0.95</v>
      </c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2:30">
      <c r="B27" s="117">
        <f t="shared" si="4"/>
        <v>2037</v>
      </c>
      <c r="C27" s="128">
        <f>(SUM(($P$8*$M$25),($P$9*$M$26),($P$10*$M$27),($P$11*$M$28),($P$12,$M$29)))*((1 +0.02)^($B27-2020))</f>
        <v>5167176.6066770228</v>
      </c>
      <c r="D27" s="127">
        <f t="shared" si="5"/>
        <v>2225744.5802358538</v>
      </c>
      <c r="E27" s="128">
        <f t="shared" si="6"/>
        <v>13502.91274493984</v>
      </c>
      <c r="F27" s="126">
        <f t="shared" si="7"/>
        <v>268195.46662725561</v>
      </c>
      <c r="G27" s="127">
        <f t="shared" si="8"/>
        <v>429343.77415747172</v>
      </c>
      <c r="H27" s="127">
        <f t="shared" si="1"/>
        <v>2230389.8729115017</v>
      </c>
      <c r="I27" s="128">
        <f t="shared" si="2"/>
        <v>2936786.7337655211</v>
      </c>
      <c r="J27" s="102">
        <f t="shared" si="3"/>
        <v>929711.47016490484</v>
      </c>
      <c r="K27" s="115"/>
      <c r="L27" s="84" t="s">
        <v>137</v>
      </c>
      <c r="M27" s="48">
        <f>117571*M45</f>
        <v>120439.73239999999</v>
      </c>
      <c r="O27" s="337" t="s">
        <v>147</v>
      </c>
      <c r="P27" s="192">
        <v>2</v>
      </c>
      <c r="Q27" s="192">
        <v>0.74</v>
      </c>
      <c r="R27" s="69">
        <v>0.74</v>
      </c>
      <c r="S27" s="185"/>
      <c r="T27" s="90"/>
      <c r="U27" s="185"/>
      <c r="V27" s="185"/>
      <c r="W27" s="17"/>
      <c r="X27" s="17"/>
      <c r="Y27" s="17"/>
      <c r="Z27" s="17"/>
      <c r="AA27" s="17"/>
      <c r="AB27" s="17"/>
      <c r="AC27" s="17"/>
    </row>
    <row r="28" spans="2:30">
      <c r="B28" s="117">
        <f t="shared" si="4"/>
        <v>2038</v>
      </c>
      <c r="C28" s="128">
        <f>(SUM(($P$8*$M$25),($P$9*$M$26),($P$10*$M$27),($P$11*$M$28),($P$12,$M$29)))*((1 +0.02)^($B28-2020))</f>
        <v>5270520.1388105629</v>
      </c>
      <c r="D28" s="127">
        <f t="shared" si="5"/>
        <v>2270259.4718405707</v>
      </c>
      <c r="E28" s="128">
        <f t="shared" si="6"/>
        <v>13772.970999838635</v>
      </c>
      <c r="F28" s="126">
        <f t="shared" si="7"/>
        <v>273559.37595980067</v>
      </c>
      <c r="G28" s="127">
        <f t="shared" si="8"/>
        <v>437930.64964062109</v>
      </c>
      <c r="H28" s="127">
        <f t="shared" si="1"/>
        <v>2274997.6703697317</v>
      </c>
      <c r="I28" s="128">
        <f t="shared" si="2"/>
        <v>2995522.4684408312</v>
      </c>
      <c r="J28" s="102">
        <f t="shared" si="3"/>
        <v>886267.00894224551</v>
      </c>
      <c r="K28" s="115"/>
      <c r="L28" s="85" t="s">
        <v>138</v>
      </c>
      <c r="M28" s="48">
        <f>25512*M45</f>
        <v>26134.4928</v>
      </c>
      <c r="O28" s="349" t="s">
        <v>147</v>
      </c>
      <c r="P28" s="349">
        <v>2</v>
      </c>
      <c r="Q28" s="349">
        <v>0.74</v>
      </c>
      <c r="R28" s="69">
        <v>0.74</v>
      </c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2:30">
      <c r="B29" s="101">
        <f t="shared" si="4"/>
        <v>2039</v>
      </c>
      <c r="C29" s="128">
        <f>(SUM(($P$8*$M$25),($P$9*$M$26),($P$10*$M$27),($P$11*$M$28),($P$12,$M$29)))*((1 +0.02)^($B29-2020))</f>
        <v>5375930.5415867735</v>
      </c>
      <c r="D29" s="127">
        <f t="shared" si="5"/>
        <v>2315664.6612773822</v>
      </c>
      <c r="E29" s="128">
        <f t="shared" si="6"/>
        <v>14048.430419835408</v>
      </c>
      <c r="F29" s="126">
        <f t="shared" si="7"/>
        <v>279030.56347899669</v>
      </c>
      <c r="G29" s="127">
        <f t="shared" si="8"/>
        <v>446689.26263343351</v>
      </c>
      <c r="H29" s="127">
        <f t="shared" si="1"/>
        <v>2320497.623777126</v>
      </c>
      <c r="I29" s="128">
        <f t="shared" si="2"/>
        <v>3055432.9178096475</v>
      </c>
      <c r="J29" s="102">
        <f t="shared" si="3"/>
        <v>844852.66272999102</v>
      </c>
      <c r="K29" s="115"/>
      <c r="L29" s="32" t="s">
        <v>136</v>
      </c>
      <c r="M29" s="48">
        <f>6805*M45</f>
        <v>6971.0419999999995</v>
      </c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2:30" ht="15.75" thickBot="1">
      <c r="B30" s="118">
        <f>+B29+1</f>
        <v>2040</v>
      </c>
      <c r="C30" s="704">
        <f>(SUM(($P$8*$M$25),($P$9*$M$26),($P$10*$M$27),($P$11*$M$28),($P$12,$M$29)))*((1 +0.02)^($B30-2020))</f>
        <v>5483449.1524185101</v>
      </c>
      <c r="D30" s="704">
        <f t="shared" si="5"/>
        <v>2361977.9545029299</v>
      </c>
      <c r="E30" s="704">
        <f t="shared" si="6"/>
        <v>14329.399028232117</v>
      </c>
      <c r="F30" s="126">
        <f t="shared" si="7"/>
        <v>284611.17474857665</v>
      </c>
      <c r="G30" s="127">
        <f t="shared" si="8"/>
        <v>455623.04788610223</v>
      </c>
      <c r="H30" s="127">
        <f t="shared" si="1"/>
        <v>2366907.5762526691</v>
      </c>
      <c r="I30" s="128">
        <f t="shared" si="2"/>
        <v>3116541.576165841</v>
      </c>
      <c r="J30" s="102">
        <f t="shared" si="3"/>
        <v>805373.56634073926</v>
      </c>
      <c r="K30" s="115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2:30" ht="18" thickBot="1">
      <c r="B31" s="19"/>
      <c r="C31" s="374"/>
      <c r="D31" s="375"/>
      <c r="E31" s="19"/>
      <c r="F31" s="536" t="s">
        <v>228</v>
      </c>
      <c r="G31" s="537"/>
      <c r="H31" s="538"/>
      <c r="I31" s="161">
        <f>SUM(I10:I30)</f>
        <v>42029288.689884856</v>
      </c>
      <c r="J31" s="341">
        <f>SUM(J10:J30)</f>
        <v>18121341.343351617</v>
      </c>
      <c r="K31" s="115"/>
      <c r="L31" s="27" t="s">
        <v>322</v>
      </c>
      <c r="M31" s="88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2:30">
      <c r="B32" s="19"/>
      <c r="C32" s="374"/>
      <c r="D32" s="374"/>
      <c r="E32" s="19"/>
      <c r="F32" s="338"/>
      <c r="G32" s="338"/>
      <c r="H32" s="338"/>
      <c r="I32" s="340"/>
      <c r="J32" s="96"/>
      <c r="K32" s="115"/>
      <c r="L32" s="529" t="s">
        <v>213</v>
      </c>
      <c r="M32" s="530"/>
      <c r="N32" s="530"/>
      <c r="O32" s="530"/>
      <c r="P32" s="530"/>
      <c r="Q32" s="530"/>
      <c r="R32" s="531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31">
      <c r="B33" s="339" t="s">
        <v>293</v>
      </c>
      <c r="C33" s="343" t="s">
        <v>380</v>
      </c>
      <c r="D33" s="345"/>
      <c r="E33" s="345"/>
      <c r="F33" s="344"/>
      <c r="G33" s="344"/>
      <c r="H33" s="344"/>
      <c r="I33" s="346"/>
      <c r="J33" s="346"/>
      <c r="K33" s="96"/>
      <c r="L33" s="192" t="s">
        <v>216</v>
      </c>
      <c r="M33" s="32" t="s">
        <v>212</v>
      </c>
      <c r="N33" s="192" t="s">
        <v>140</v>
      </c>
      <c r="O33" s="192" t="s">
        <v>141</v>
      </c>
      <c r="P33" s="192" t="s">
        <v>142</v>
      </c>
      <c r="Q33" s="192" t="s">
        <v>143</v>
      </c>
      <c r="R33" s="192" t="s">
        <v>108</v>
      </c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31" ht="15" customHeight="1">
      <c r="B34" s="339" t="s">
        <v>294</v>
      </c>
      <c r="C34" s="539" t="s">
        <v>398</v>
      </c>
      <c r="D34" s="539"/>
      <c r="E34" s="539"/>
      <c r="F34" s="539"/>
      <c r="G34" s="539"/>
      <c r="H34" s="539"/>
      <c r="I34" s="539"/>
      <c r="J34" s="539"/>
      <c r="L34" s="528">
        <v>1</v>
      </c>
      <c r="M34" s="540" t="s">
        <v>243</v>
      </c>
      <c r="N34" s="532">
        <v>0.53</v>
      </c>
      <c r="O34" s="532">
        <v>0.53</v>
      </c>
      <c r="P34" s="532">
        <v>0.53</v>
      </c>
      <c r="Q34" s="532">
        <v>0.53</v>
      </c>
      <c r="R34" s="532">
        <v>0.53</v>
      </c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31">
      <c r="C35" s="539"/>
      <c r="D35" s="539"/>
      <c r="E35" s="539"/>
      <c r="F35" s="539"/>
      <c r="G35" s="539"/>
      <c r="H35" s="539"/>
      <c r="I35" s="539"/>
      <c r="J35" s="539"/>
      <c r="L35" s="528"/>
      <c r="M35" s="541"/>
      <c r="N35" s="532"/>
      <c r="O35" s="532"/>
      <c r="P35" s="532"/>
      <c r="Q35" s="532"/>
      <c r="R35" s="532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31" ht="17.25" customHeight="1">
      <c r="B36" s="18" t="s">
        <v>2</v>
      </c>
      <c r="L36" s="528"/>
      <c r="M36" s="542"/>
      <c r="N36" s="532"/>
      <c r="O36" s="532"/>
      <c r="P36" s="532"/>
      <c r="Q36" s="532"/>
      <c r="R36" s="532"/>
      <c r="U36" s="17"/>
      <c r="V36" s="17"/>
      <c r="W36" s="17"/>
      <c r="X36" s="17"/>
      <c r="Y36" s="17"/>
      <c r="Z36" s="17"/>
      <c r="AA36" s="17"/>
      <c r="AB36" s="17"/>
      <c r="AC36" s="17"/>
    </row>
    <row r="37" spans="1:31">
      <c r="B37" s="26"/>
      <c r="C37" s="26"/>
      <c r="D37" s="26"/>
      <c r="E37" s="26"/>
      <c r="F37" s="26"/>
      <c r="G37" s="26"/>
      <c r="H37" s="26"/>
      <c r="I37" s="26"/>
      <c r="J37" s="26"/>
      <c r="L37" s="528">
        <v>2</v>
      </c>
      <c r="M37" s="544" t="s">
        <v>210</v>
      </c>
      <c r="N37" s="532">
        <v>0.74</v>
      </c>
      <c r="O37" s="532">
        <v>0.74</v>
      </c>
      <c r="P37" s="532">
        <v>0.74</v>
      </c>
      <c r="Q37" s="532">
        <v>0.74</v>
      </c>
      <c r="R37" s="532">
        <v>0.74</v>
      </c>
      <c r="U37" s="17"/>
      <c r="V37" s="17"/>
      <c r="W37" s="17"/>
      <c r="X37" s="17"/>
      <c r="Y37" s="17"/>
      <c r="Z37" s="17"/>
      <c r="AA37" s="17"/>
      <c r="AB37" s="17"/>
      <c r="AC37" s="17"/>
    </row>
    <row r="38" spans="1:31">
      <c r="A38" s="289" t="s">
        <v>24</v>
      </c>
      <c r="B38" s="535" t="s">
        <v>242</v>
      </c>
      <c r="C38" s="535"/>
      <c r="D38" s="535"/>
      <c r="E38" s="535"/>
      <c r="F38" s="535"/>
      <c r="G38" s="535"/>
      <c r="H38" s="535"/>
      <c r="I38" s="535"/>
      <c r="J38" s="535"/>
      <c r="L38" s="528"/>
      <c r="M38" s="544"/>
      <c r="N38" s="532"/>
      <c r="O38" s="532"/>
      <c r="P38" s="532"/>
      <c r="Q38" s="532"/>
      <c r="R38" s="532"/>
      <c r="Y38" s="17"/>
      <c r="Z38" s="17"/>
      <c r="AA38" s="17"/>
      <c r="AB38" s="17"/>
      <c r="AC38" s="17"/>
    </row>
    <row r="39" spans="1:31" ht="15" customHeight="1">
      <c r="B39" s="535"/>
      <c r="C39" s="535"/>
      <c r="D39" s="535"/>
      <c r="E39" s="535"/>
      <c r="F39" s="535"/>
      <c r="G39" s="535"/>
      <c r="H39" s="535"/>
      <c r="I39" s="535"/>
      <c r="J39" s="535"/>
      <c r="K39" s="31"/>
      <c r="L39" s="528"/>
      <c r="M39" s="544"/>
      <c r="N39" s="532"/>
      <c r="O39" s="532"/>
      <c r="P39" s="532"/>
      <c r="Q39" s="532"/>
      <c r="R39" s="532"/>
      <c r="Z39" s="17"/>
      <c r="AA39" s="17"/>
      <c r="AB39" s="17"/>
      <c r="AC39" s="17"/>
    </row>
    <row r="40" spans="1:31" ht="15" customHeight="1">
      <c r="B40" s="260"/>
      <c r="C40" s="260"/>
      <c r="D40" s="260"/>
      <c r="E40" s="260"/>
      <c r="F40" s="260"/>
      <c r="G40" s="260"/>
      <c r="H40" s="260"/>
      <c r="I40" s="260"/>
      <c r="J40" s="260"/>
      <c r="K40" s="31"/>
      <c r="L40" s="528">
        <v>3</v>
      </c>
      <c r="M40" s="544" t="s">
        <v>211</v>
      </c>
      <c r="N40" s="532">
        <v>0.95</v>
      </c>
      <c r="O40" s="532">
        <v>0.95</v>
      </c>
      <c r="P40" s="532">
        <v>0.95</v>
      </c>
      <c r="Q40" s="532">
        <v>0.95</v>
      </c>
      <c r="R40" s="532">
        <v>0.95</v>
      </c>
      <c r="Z40" s="17"/>
      <c r="AA40" s="17"/>
      <c r="AB40" s="17"/>
      <c r="AC40" s="17"/>
    </row>
    <row r="41" spans="1:31">
      <c r="A41" s="20" t="s">
        <v>23</v>
      </c>
      <c r="B41" s="535" t="s">
        <v>139</v>
      </c>
      <c r="C41" s="535"/>
      <c r="D41" s="535"/>
      <c r="E41" s="535"/>
      <c r="F41" s="535"/>
      <c r="G41" s="535"/>
      <c r="H41" s="535"/>
      <c r="I41" s="535"/>
      <c r="J41" s="535"/>
      <c r="K41" s="31"/>
      <c r="L41" s="528"/>
      <c r="M41" s="544"/>
      <c r="N41" s="532"/>
      <c r="O41" s="532"/>
      <c r="P41" s="532"/>
      <c r="Q41" s="532"/>
      <c r="R41" s="532"/>
      <c r="Z41" s="17"/>
      <c r="AA41" s="17"/>
      <c r="AB41" s="17"/>
      <c r="AC41" s="17"/>
    </row>
    <row r="42" spans="1:31">
      <c r="B42" s="535"/>
      <c r="C42" s="535"/>
      <c r="D42" s="535"/>
      <c r="E42" s="535"/>
      <c r="F42" s="535"/>
      <c r="G42" s="535"/>
      <c r="H42" s="535"/>
      <c r="I42" s="535"/>
      <c r="J42" s="535"/>
      <c r="K42" s="31"/>
      <c r="L42" s="528"/>
      <c r="M42" s="544"/>
      <c r="N42" s="532"/>
      <c r="O42" s="532"/>
      <c r="P42" s="532"/>
      <c r="Q42" s="532"/>
      <c r="R42" s="532"/>
      <c r="Z42" s="17"/>
      <c r="AA42" s="17"/>
      <c r="AB42" s="17"/>
      <c r="AC42" s="17"/>
    </row>
    <row r="43" spans="1:31" ht="15" customHeight="1">
      <c r="B43" s="535"/>
      <c r="C43" s="535"/>
      <c r="D43" s="535"/>
      <c r="E43" s="535"/>
      <c r="F43" s="535"/>
      <c r="G43" s="535"/>
      <c r="H43" s="535"/>
      <c r="I43" s="535"/>
      <c r="J43" s="535"/>
      <c r="K43" s="31"/>
      <c r="L43" s="87"/>
      <c r="P43" s="31"/>
      <c r="Q43" s="31"/>
      <c r="R43" s="31"/>
      <c r="Z43" s="17"/>
      <c r="AA43" s="17"/>
      <c r="AB43" s="17"/>
      <c r="AC43" s="17"/>
    </row>
    <row r="44" spans="1:31" ht="15" customHeight="1">
      <c r="A44" s="20" t="s">
        <v>25</v>
      </c>
      <c r="B44" s="535" t="s">
        <v>244</v>
      </c>
      <c r="C44" s="535"/>
      <c r="D44" s="535"/>
      <c r="E44" s="535"/>
      <c r="F44" s="535"/>
      <c r="G44" s="535"/>
      <c r="H44" s="535"/>
      <c r="I44" s="535"/>
      <c r="J44" s="535"/>
      <c r="K44" s="150"/>
      <c r="L44" s="27" t="s">
        <v>369</v>
      </c>
      <c r="W44" s="17"/>
      <c r="X44" s="17"/>
      <c r="Y44" s="17"/>
      <c r="Z44" s="17"/>
      <c r="AA44" s="17"/>
      <c r="AB44" s="17"/>
      <c r="AC44" s="17"/>
    </row>
    <row r="45" spans="1:31" ht="17.25" customHeight="1">
      <c r="B45" s="535"/>
      <c r="C45" s="535"/>
      <c r="D45" s="535"/>
      <c r="E45" s="535"/>
      <c r="F45" s="535"/>
      <c r="G45" s="535"/>
      <c r="H45" s="535"/>
      <c r="I45" s="535"/>
      <c r="J45" s="535"/>
      <c r="L45" s="79" t="s">
        <v>323</v>
      </c>
      <c r="M45" s="85">
        <v>1.0244</v>
      </c>
      <c r="N45" s="360"/>
      <c r="AA45" s="17"/>
      <c r="AB45" s="17"/>
      <c r="AC45" s="17"/>
    </row>
    <row r="46" spans="1:31">
      <c r="B46" s="535"/>
      <c r="C46" s="535"/>
      <c r="D46" s="535"/>
      <c r="E46" s="535"/>
      <c r="F46" s="535"/>
      <c r="G46" s="535"/>
      <c r="H46" s="535"/>
      <c r="I46" s="535"/>
      <c r="J46" s="535"/>
      <c r="L46" s="347"/>
      <c r="S46" s="87"/>
    </row>
    <row r="47" spans="1:31" ht="15" customHeight="1">
      <c r="B47" s="535"/>
      <c r="C47" s="535"/>
      <c r="D47" s="535"/>
      <c r="E47" s="535"/>
      <c r="F47" s="535"/>
      <c r="G47" s="535"/>
      <c r="H47" s="535"/>
      <c r="I47" s="535"/>
      <c r="J47" s="535"/>
      <c r="L47" s="27" t="s">
        <v>375</v>
      </c>
      <c r="Q47" s="212" t="s">
        <v>401</v>
      </c>
      <c r="S47" s="87"/>
      <c r="AD47" s="31"/>
    </row>
    <row r="48" spans="1:31" ht="14.25" customHeight="1">
      <c r="A48" s="20"/>
      <c r="B48" s="535"/>
      <c r="C48" s="535"/>
      <c r="D48" s="535"/>
      <c r="E48" s="535"/>
      <c r="F48" s="535"/>
      <c r="G48" s="535"/>
      <c r="H48" s="535"/>
      <c r="I48" s="535"/>
      <c r="J48" s="535"/>
      <c r="L48" s="390" t="s">
        <v>296</v>
      </c>
      <c r="M48" s="390" t="s">
        <v>198</v>
      </c>
      <c r="N48" s="543" t="s">
        <v>374</v>
      </c>
      <c r="O48" s="543"/>
      <c r="Q48" s="389" t="s">
        <v>377</v>
      </c>
      <c r="R48" s="273">
        <v>2025</v>
      </c>
      <c r="S48" s="87"/>
      <c r="AD48" s="31"/>
      <c r="AE48" s="31"/>
    </row>
    <row r="49" spans="1:30" ht="17.25" customHeight="1">
      <c r="B49" s="26"/>
      <c r="C49" s="26"/>
      <c r="D49" s="26"/>
      <c r="E49" s="26"/>
      <c r="F49" s="26"/>
      <c r="G49" s="26"/>
      <c r="H49" s="26"/>
      <c r="I49" s="26"/>
      <c r="J49" s="26"/>
      <c r="L49" s="390" t="s">
        <v>399</v>
      </c>
      <c r="M49" s="390" t="s">
        <v>199</v>
      </c>
      <c r="N49" s="543" t="s">
        <v>370</v>
      </c>
      <c r="O49" s="543"/>
      <c r="Q49" s="389" t="s">
        <v>378</v>
      </c>
      <c r="R49" s="273">
        <v>2027</v>
      </c>
      <c r="AD49" s="31"/>
    </row>
    <row r="50" spans="1:30" ht="14.25" customHeight="1">
      <c r="A50" s="361" t="s">
        <v>27</v>
      </c>
      <c r="B50" s="535" t="s">
        <v>338</v>
      </c>
      <c r="C50" s="535"/>
      <c r="D50" s="535"/>
      <c r="E50" s="535"/>
      <c r="F50" s="535"/>
      <c r="G50" s="535"/>
      <c r="H50" s="535"/>
      <c r="I50" s="535"/>
      <c r="J50" s="535"/>
      <c r="L50" s="390" t="s">
        <v>365</v>
      </c>
      <c r="M50" s="390" t="s">
        <v>372</v>
      </c>
      <c r="N50" s="543" t="s">
        <v>400</v>
      </c>
      <c r="O50" s="543"/>
      <c r="Q50" s="389" t="s">
        <v>402</v>
      </c>
      <c r="R50" s="273">
        <v>2027</v>
      </c>
      <c r="AC50" s="17"/>
    </row>
    <row r="51" spans="1:30" ht="15" customHeight="1">
      <c r="B51" s="535"/>
      <c r="C51" s="535"/>
      <c r="D51" s="535"/>
      <c r="E51" s="535"/>
      <c r="F51" s="535"/>
      <c r="G51" s="535"/>
      <c r="H51" s="535"/>
      <c r="I51" s="535"/>
      <c r="J51" s="535"/>
      <c r="L51" s="390" t="s">
        <v>368</v>
      </c>
      <c r="M51" s="390" t="s">
        <v>373</v>
      </c>
      <c r="N51" s="543" t="s">
        <v>371</v>
      </c>
      <c r="O51" s="543"/>
      <c r="Q51" s="389" t="s">
        <v>379</v>
      </c>
      <c r="R51" s="273">
        <v>2027</v>
      </c>
      <c r="AC51" s="17"/>
    </row>
    <row r="52" spans="1:30" ht="15" customHeight="1">
      <c r="B52" s="535" t="s">
        <v>289</v>
      </c>
      <c r="C52" s="535"/>
      <c r="D52" s="535"/>
      <c r="E52" s="535"/>
      <c r="F52" s="535"/>
      <c r="G52" s="535"/>
      <c r="H52" s="535"/>
      <c r="I52" s="535"/>
      <c r="J52" s="535"/>
      <c r="AC52" s="17"/>
    </row>
    <row r="53" spans="1:30">
      <c r="B53" s="535"/>
      <c r="C53" s="535"/>
      <c r="D53" s="535"/>
      <c r="E53" s="535"/>
      <c r="F53" s="535"/>
      <c r="G53" s="535"/>
      <c r="H53" s="535"/>
      <c r="I53" s="535"/>
      <c r="J53" s="535"/>
      <c r="AC53" s="17"/>
    </row>
    <row r="54" spans="1:30" ht="15" customHeight="1">
      <c r="B54" s="535"/>
      <c r="C54" s="535"/>
      <c r="D54" s="535"/>
      <c r="E54" s="535"/>
      <c r="F54" s="535"/>
      <c r="G54" s="535"/>
      <c r="H54" s="535"/>
      <c r="I54" s="535"/>
      <c r="J54" s="535"/>
      <c r="R54" s="261" t="s">
        <v>269</v>
      </c>
      <c r="AC54" s="17"/>
    </row>
    <row r="55" spans="1:30">
      <c r="B55" s="535"/>
      <c r="C55" s="535"/>
      <c r="D55" s="535"/>
      <c r="E55" s="535"/>
      <c r="F55" s="535"/>
      <c r="G55" s="535"/>
      <c r="H55" s="535"/>
      <c r="I55" s="535"/>
      <c r="J55" s="535"/>
      <c r="AC55" s="17"/>
    </row>
    <row r="56" spans="1:30" ht="15" customHeight="1">
      <c r="B56" s="110"/>
      <c r="C56" s="110"/>
      <c r="D56" s="110"/>
      <c r="E56" s="187"/>
      <c r="F56" s="110"/>
      <c r="G56" s="110"/>
      <c r="H56" s="187"/>
      <c r="I56" s="110"/>
      <c r="J56" s="110"/>
      <c r="AB56" s="17"/>
      <c r="AC56" s="17"/>
    </row>
    <row r="57" spans="1:30">
      <c r="B57" s="535"/>
      <c r="C57" s="535"/>
      <c r="D57" s="535"/>
      <c r="E57" s="535"/>
      <c r="F57" s="535"/>
      <c r="G57" s="535"/>
      <c r="H57" s="535"/>
      <c r="I57" s="535"/>
      <c r="J57" s="535"/>
      <c r="AB57" s="17"/>
      <c r="AC57" s="17"/>
    </row>
    <row r="58" spans="1:30" ht="15" customHeight="1">
      <c r="B58" s="535"/>
      <c r="C58" s="535"/>
      <c r="D58" s="535"/>
      <c r="E58" s="535"/>
      <c r="F58" s="535"/>
      <c r="G58" s="535"/>
      <c r="H58" s="535"/>
      <c r="I58" s="535"/>
      <c r="J58" s="535"/>
      <c r="AC58" s="17"/>
    </row>
    <row r="59" spans="1:30">
      <c r="B59" s="535"/>
      <c r="C59" s="535"/>
      <c r="D59" s="535"/>
      <c r="E59" s="535"/>
      <c r="F59" s="535"/>
      <c r="G59" s="535"/>
      <c r="H59" s="535"/>
      <c r="I59" s="535"/>
      <c r="J59" s="535"/>
      <c r="AC59" s="17"/>
    </row>
    <row r="60" spans="1:30">
      <c r="K60" s="23"/>
      <c r="AC60" s="17"/>
    </row>
    <row r="61" spans="1:30">
      <c r="K61" s="23"/>
      <c r="AC61" s="17"/>
    </row>
    <row r="62" spans="1:30" ht="15" customHeight="1">
      <c r="K62" s="23"/>
    </row>
    <row r="63" spans="1:30">
      <c r="K63" s="23"/>
    </row>
    <row r="64" spans="1:30">
      <c r="K64" s="23"/>
    </row>
    <row r="65" spans="11:29">
      <c r="K65" s="129"/>
    </row>
    <row r="66" spans="11:29">
      <c r="K66" s="23"/>
    </row>
    <row r="67" spans="11:29">
      <c r="K67" s="23"/>
    </row>
    <row r="68" spans="11:29">
      <c r="K68" s="23"/>
    </row>
    <row r="72" spans="11:29">
      <c r="AC72" s="17"/>
    </row>
    <row r="73" spans="11:29">
      <c r="AC73" s="17"/>
    </row>
    <row r="74" spans="11:29">
      <c r="AC74" s="17"/>
    </row>
    <row r="75" spans="11:29">
      <c r="AC75" s="17"/>
    </row>
    <row r="76" spans="11:29">
      <c r="AC76" s="17"/>
    </row>
    <row r="77" spans="11:29">
      <c r="AC77" s="17"/>
    </row>
  </sheetData>
  <mergeCells count="50">
    <mergeCell ref="N49:O49"/>
    <mergeCell ref="N50:O50"/>
    <mergeCell ref="N51:O51"/>
    <mergeCell ref="O15:O16"/>
    <mergeCell ref="P15:P16"/>
    <mergeCell ref="M34:M36"/>
    <mergeCell ref="N34:N36"/>
    <mergeCell ref="O34:O36"/>
    <mergeCell ref="P34:P36"/>
    <mergeCell ref="N48:O48"/>
    <mergeCell ref="M40:M42"/>
    <mergeCell ref="N40:N42"/>
    <mergeCell ref="O40:O42"/>
    <mergeCell ref="P40:P42"/>
    <mergeCell ref="M37:M39"/>
    <mergeCell ref="N37:N39"/>
    <mergeCell ref="O37:O39"/>
    <mergeCell ref="P37:P39"/>
    <mergeCell ref="B57:J59"/>
    <mergeCell ref="B54:J55"/>
    <mergeCell ref="B44:J48"/>
    <mergeCell ref="B41:J43"/>
    <mergeCell ref="B4:B9"/>
    <mergeCell ref="C4:C9"/>
    <mergeCell ref="F4:F9"/>
    <mergeCell ref="J4:J9"/>
    <mergeCell ref="G4:G9"/>
    <mergeCell ref="I4:I9"/>
    <mergeCell ref="D4:D9"/>
    <mergeCell ref="B50:J51"/>
    <mergeCell ref="F31:H31"/>
    <mergeCell ref="B38:J39"/>
    <mergeCell ref="C34:J35"/>
    <mergeCell ref="B52:J53"/>
    <mergeCell ref="L6:L7"/>
    <mergeCell ref="L15:L16"/>
    <mergeCell ref="E4:E9"/>
    <mergeCell ref="H4:H9"/>
    <mergeCell ref="L40:L42"/>
    <mergeCell ref="L32:R32"/>
    <mergeCell ref="R40:R42"/>
    <mergeCell ref="Q40:Q42"/>
    <mergeCell ref="Q34:Q36"/>
    <mergeCell ref="R34:R36"/>
    <mergeCell ref="Q37:Q39"/>
    <mergeCell ref="R37:R39"/>
    <mergeCell ref="L34:L36"/>
    <mergeCell ref="L37:L39"/>
    <mergeCell ref="M15:M16"/>
    <mergeCell ref="N15:N16"/>
  </mergeCells>
  <pageMargins left="0.2" right="0.2" top="0.25" bottom="0.25" header="0.3" footer="0.3"/>
  <pageSetup paperSize="3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S53"/>
  <sheetViews>
    <sheetView view="pageBreakPreview" topLeftCell="B10" zoomScaleNormal="100" zoomScaleSheetLayoutView="100" workbookViewId="0">
      <selection activeCell="F50" sqref="F50"/>
    </sheetView>
  </sheetViews>
  <sheetFormatPr defaultRowHeight="15"/>
  <cols>
    <col min="1" max="1" width="6.85546875" customWidth="1"/>
    <col min="2" max="2" width="17.7109375" customWidth="1"/>
    <col min="3" max="6" width="15.7109375" style="210" customWidth="1"/>
    <col min="7" max="7" width="15.7109375" style="142" customWidth="1"/>
    <col min="8" max="9" width="15.7109375" style="210" customWidth="1"/>
    <col min="10" max="10" width="15.5703125" customWidth="1"/>
    <col min="11" max="11" width="12.5703125" customWidth="1"/>
    <col min="12" max="12" width="28.140625" customWidth="1"/>
    <col min="13" max="13" width="21.5703125" customWidth="1"/>
    <col min="14" max="14" width="14.42578125" customWidth="1"/>
    <col min="15" max="15" width="14.140625" customWidth="1"/>
    <col min="16" max="16" width="6.5703125" customWidth="1"/>
  </cols>
  <sheetData>
    <row r="1" spans="1:19">
      <c r="A1" s="17"/>
    </row>
    <row r="2" spans="1:19" ht="15.75" thickBot="1">
      <c r="B2" s="18" t="s">
        <v>99</v>
      </c>
      <c r="C2" s="17"/>
      <c r="D2" s="17"/>
      <c r="E2" s="17"/>
      <c r="F2" s="17"/>
      <c r="K2" s="17"/>
      <c r="L2" s="17"/>
      <c r="M2" s="17"/>
      <c r="N2" s="17"/>
      <c r="O2" s="17"/>
      <c r="P2" s="17"/>
      <c r="Q2" s="17"/>
    </row>
    <row r="3" spans="1:19" ht="15.75" thickBot="1">
      <c r="C3" s="557"/>
      <c r="D3" s="557"/>
      <c r="E3" s="557"/>
      <c r="F3" s="558"/>
    </row>
    <row r="4" spans="1:19" ht="35.1" customHeight="1">
      <c r="B4" s="522" t="s">
        <v>226</v>
      </c>
      <c r="C4" s="523" t="s">
        <v>403</v>
      </c>
      <c r="D4" s="523" t="s">
        <v>349</v>
      </c>
      <c r="E4" s="523" t="s">
        <v>404</v>
      </c>
      <c r="F4" s="523" t="s">
        <v>350</v>
      </c>
      <c r="G4" s="559" t="s">
        <v>351</v>
      </c>
      <c r="H4" s="559" t="s">
        <v>352</v>
      </c>
      <c r="I4" s="559" t="s">
        <v>353</v>
      </c>
      <c r="J4" s="559" t="s">
        <v>405</v>
      </c>
      <c r="L4" s="550"/>
      <c r="M4" s="550"/>
      <c r="N4" s="550"/>
      <c r="O4" s="550"/>
    </row>
    <row r="5" spans="1:19" ht="35.1" customHeight="1">
      <c r="B5" s="523"/>
      <c r="C5" s="523"/>
      <c r="D5" s="523"/>
      <c r="E5" s="523"/>
      <c r="F5" s="523"/>
      <c r="G5" s="560"/>
      <c r="H5" s="560"/>
      <c r="I5" s="560"/>
      <c r="J5" s="560"/>
    </row>
    <row r="6" spans="1:19" s="210" customFormat="1" ht="19.5" customHeight="1" thickBot="1">
      <c r="B6" s="524"/>
      <c r="C6" s="524"/>
      <c r="D6" s="524"/>
      <c r="E6" s="524"/>
      <c r="F6" s="524"/>
      <c r="G6" s="561"/>
      <c r="H6" s="561"/>
      <c r="I6" s="561"/>
      <c r="J6" s="561"/>
    </row>
    <row r="7" spans="1:19">
      <c r="B7" s="1">
        <v>2020</v>
      </c>
      <c r="C7" s="319">
        <f>($N$9*$M$27)*(1+$M$23)^(B7-2020)</f>
        <v>6219.4617100000005</v>
      </c>
      <c r="D7" s="319">
        <f>($N$16*$M$27)*(1+$M$23)^(B7-2020)</f>
        <v>3524.6064000000006</v>
      </c>
      <c r="E7" s="319">
        <v>0</v>
      </c>
      <c r="F7" s="356">
        <v>0</v>
      </c>
      <c r="G7" s="319">
        <v>0</v>
      </c>
      <c r="H7" s="319">
        <v>0</v>
      </c>
      <c r="I7" s="319">
        <f t="shared" ref="I7:I27" si="0">G7+H7</f>
        <v>0</v>
      </c>
      <c r="J7" s="319">
        <f>I7*(1+0.07)^-(B7-2020)</f>
        <v>0</v>
      </c>
      <c r="L7" s="6" t="s">
        <v>162</v>
      </c>
      <c r="P7" s="132"/>
      <c r="Q7" s="142"/>
      <c r="R7" s="142"/>
    </row>
    <row r="8" spans="1:19">
      <c r="B8" s="2">
        <v>2021</v>
      </c>
      <c r="C8" s="319">
        <f t="shared" ref="C8:C14" si="1">($N$9*$M$27)*(1+$M$23)^(B8-2020)</f>
        <v>6343.8509442000004</v>
      </c>
      <c r="D8" s="319">
        <f t="shared" ref="D8:D14" si="2">($N$16*$M$27)*(1+$M$23)^(B8-2020)</f>
        <v>3595.0985280000004</v>
      </c>
      <c r="E8" s="319">
        <v>0</v>
      </c>
      <c r="F8" s="356">
        <v>0</v>
      </c>
      <c r="G8" s="319">
        <v>0</v>
      </c>
      <c r="H8" s="319">
        <v>0</v>
      </c>
      <c r="I8" s="319">
        <f t="shared" si="0"/>
        <v>0</v>
      </c>
      <c r="J8" s="319">
        <f t="shared" ref="J8:J27" si="3">I8*(1+0.07)^-(B8-2020)</f>
        <v>0</v>
      </c>
      <c r="L8" s="6"/>
      <c r="M8" s="334" t="s">
        <v>292</v>
      </c>
      <c r="N8" s="334" t="s">
        <v>302</v>
      </c>
      <c r="O8" s="139" t="s">
        <v>153</v>
      </c>
      <c r="P8" s="132"/>
      <c r="Q8" s="142"/>
      <c r="R8" s="142"/>
    </row>
    <row r="9" spans="1:19">
      <c r="B9" s="59">
        <v>2022</v>
      </c>
      <c r="C9" s="319">
        <f t="shared" si="1"/>
        <v>6470.7279630840003</v>
      </c>
      <c r="D9" s="319">
        <f t="shared" si="2"/>
        <v>3667.0004985600008</v>
      </c>
      <c r="E9" s="319">
        <v>0</v>
      </c>
      <c r="F9" s="356">
        <v>0</v>
      </c>
      <c r="G9" s="319">
        <v>0</v>
      </c>
      <c r="H9" s="319">
        <v>0</v>
      </c>
      <c r="I9" s="319">
        <f t="shared" si="0"/>
        <v>0</v>
      </c>
      <c r="J9" s="319">
        <f t="shared" si="3"/>
        <v>0</v>
      </c>
      <c r="L9" s="140" t="s">
        <v>154</v>
      </c>
      <c r="M9" s="156">
        <v>4235</v>
      </c>
      <c r="N9" s="156">
        <f>M9*$M$20</f>
        <v>4676.2870000000003</v>
      </c>
      <c r="O9" s="139" t="s">
        <v>155</v>
      </c>
      <c r="P9" s="132"/>
      <c r="Q9" s="142"/>
      <c r="R9" s="142"/>
    </row>
    <row r="10" spans="1:19">
      <c r="B10" s="2">
        <v>2023</v>
      </c>
      <c r="C10" s="319">
        <f t="shared" si="1"/>
        <v>6600.1425223456799</v>
      </c>
      <c r="D10" s="319">
        <f t="shared" si="2"/>
        <v>3740.3405085312002</v>
      </c>
      <c r="E10" s="319">
        <v>0</v>
      </c>
      <c r="F10" s="356">
        <v>0</v>
      </c>
      <c r="G10" s="319">
        <v>0</v>
      </c>
      <c r="H10" s="319">
        <v>0</v>
      </c>
      <c r="I10" s="319">
        <f t="shared" si="0"/>
        <v>0</v>
      </c>
      <c r="J10" s="319">
        <f t="shared" si="3"/>
        <v>0</v>
      </c>
      <c r="L10" s="146" t="s">
        <v>151</v>
      </c>
      <c r="M10" s="156">
        <v>79000</v>
      </c>
      <c r="N10" s="156">
        <f>M10*$M$20</f>
        <v>87231.8</v>
      </c>
      <c r="O10" s="139" t="s">
        <v>156</v>
      </c>
      <c r="P10" s="132"/>
      <c r="Q10" s="142"/>
      <c r="R10" s="142"/>
    </row>
    <row r="11" spans="1:19">
      <c r="B11" s="59">
        <v>2024</v>
      </c>
      <c r="C11" s="319">
        <f t="shared" si="1"/>
        <v>6732.1453727925937</v>
      </c>
      <c r="D11" s="319">
        <f t="shared" si="2"/>
        <v>3815.1473187018246</v>
      </c>
      <c r="E11" s="319">
        <v>0</v>
      </c>
      <c r="F11" s="356">
        <v>0</v>
      </c>
      <c r="G11" s="319">
        <v>0</v>
      </c>
      <c r="H11" s="319">
        <v>0</v>
      </c>
      <c r="I11" s="319">
        <f t="shared" si="0"/>
        <v>0</v>
      </c>
      <c r="J11" s="319">
        <f t="shared" si="3"/>
        <v>0</v>
      </c>
      <c r="L11" s="140" t="s">
        <v>152</v>
      </c>
      <c r="M11" s="156">
        <v>1141000</v>
      </c>
      <c r="N11" s="156">
        <f>M11*$M$20</f>
        <v>1259892.2000000002</v>
      </c>
      <c r="O11" s="139" t="s">
        <v>157</v>
      </c>
      <c r="P11" s="132"/>
      <c r="Q11" s="142"/>
      <c r="R11" s="142"/>
    </row>
    <row r="12" spans="1:19">
      <c r="B12" s="2">
        <v>2025</v>
      </c>
      <c r="C12" s="319">
        <f t="shared" si="1"/>
        <v>6866.7882802484464</v>
      </c>
      <c r="D12" s="319">
        <f t="shared" si="2"/>
        <v>3891.4502650758614</v>
      </c>
      <c r="E12" s="319">
        <f>(($N$9*$M$34)*$M$27)*(1+$M$23)^(B12-2020)</f>
        <v>2746.7153120993785</v>
      </c>
      <c r="F12" s="356">
        <f>(($N$16*$O$47)*$M$29)*(1+$M$23)^(B12-2020)</f>
        <v>972.86256626896534</v>
      </c>
      <c r="G12" s="319">
        <f t="shared" ref="G12:G16" si="4">(C12-E12)</f>
        <v>4120.0729681490684</v>
      </c>
      <c r="H12" s="319">
        <f t="shared" ref="H12:H27" si="5">D12-F12</f>
        <v>2918.5876988068958</v>
      </c>
      <c r="I12" s="319">
        <f t="shared" si="0"/>
        <v>7038.6606669559642</v>
      </c>
      <c r="J12" s="319">
        <f t="shared" si="3"/>
        <v>5018.4677776149019</v>
      </c>
      <c r="L12" s="28"/>
      <c r="M12" s="131"/>
      <c r="N12" s="132"/>
      <c r="O12" s="132"/>
      <c r="P12" s="132"/>
      <c r="Q12" s="142"/>
      <c r="R12" s="142"/>
      <c r="S12" s="142"/>
    </row>
    <row r="13" spans="1:19">
      <c r="B13" s="59">
        <v>2026</v>
      </c>
      <c r="C13" s="319">
        <f t="shared" si="1"/>
        <v>7004.1240458534157</v>
      </c>
      <c r="D13" s="319">
        <f t="shared" si="2"/>
        <v>3969.2792703773785</v>
      </c>
      <c r="E13" s="319">
        <f t="shared" ref="E13:E21" si="6">(($N$9*$M$34)*$M$27)*(1+$M$23)^(B13-2020)</f>
        <v>2801.649618341366</v>
      </c>
      <c r="F13" s="356">
        <f t="shared" ref="F13:F21" si="7">(($N$16*$O$47)*$M$29)*(1+$M$23)^(B13-2020)</f>
        <v>992.31981759434461</v>
      </c>
      <c r="G13" s="319">
        <f t="shared" si="4"/>
        <v>4202.4744275120502</v>
      </c>
      <c r="H13" s="319">
        <f t="shared" si="5"/>
        <v>2976.9594527830341</v>
      </c>
      <c r="I13" s="319">
        <f t="shared" si="0"/>
        <v>7179.4338802950842</v>
      </c>
      <c r="J13" s="319">
        <f t="shared" si="3"/>
        <v>4783.95993753944</v>
      </c>
      <c r="L13" s="551" t="s">
        <v>173</v>
      </c>
      <c r="M13" s="551"/>
      <c r="N13" s="551"/>
      <c r="O13" s="551"/>
      <c r="P13" s="132"/>
      <c r="Q13" s="142"/>
      <c r="R13" s="142"/>
      <c r="S13" s="142"/>
    </row>
    <row r="14" spans="1:19">
      <c r="B14" s="2">
        <v>2027</v>
      </c>
      <c r="C14" s="319">
        <f t="shared" si="1"/>
        <v>7144.206526770482</v>
      </c>
      <c r="D14" s="319">
        <f t="shared" si="2"/>
        <v>4048.6648557849253</v>
      </c>
      <c r="E14" s="319">
        <f t="shared" si="6"/>
        <v>2857.6826107081929</v>
      </c>
      <c r="F14" s="356">
        <f t="shared" si="7"/>
        <v>1012.1662139462313</v>
      </c>
      <c r="G14" s="319">
        <f t="shared" si="4"/>
        <v>4286.5239160622896</v>
      </c>
      <c r="H14" s="319">
        <f t="shared" si="5"/>
        <v>3036.4986418386939</v>
      </c>
      <c r="I14" s="319">
        <f t="shared" si="0"/>
        <v>7323.0225579009839</v>
      </c>
      <c r="J14" s="319">
        <f t="shared" si="3"/>
        <v>4560.410407747876</v>
      </c>
      <c r="L14" s="551"/>
      <c r="M14" s="551"/>
      <c r="N14" s="551"/>
      <c r="O14" s="551"/>
      <c r="P14" s="132"/>
      <c r="Q14" s="142"/>
      <c r="R14" s="142"/>
      <c r="S14" s="142"/>
    </row>
    <row r="15" spans="1:19">
      <c r="B15" s="381">
        <v>2028</v>
      </c>
      <c r="C15" s="356">
        <f>(($N$11*$M$27)*(1+$M$23)^(B15-2020))</f>
        <v>1963298.8051915052</v>
      </c>
      <c r="D15" s="383">
        <f>(($N$17*$M$27)*(1+$M$23)^(B15-2020))</f>
        <v>51620.476911257792</v>
      </c>
      <c r="E15" s="319">
        <f t="shared" si="6"/>
        <v>2914.836262922357</v>
      </c>
      <c r="F15" s="356">
        <f t="shared" si="7"/>
        <v>1032.409538225156</v>
      </c>
      <c r="G15" s="319">
        <f t="shared" si="4"/>
        <v>1960383.968928583</v>
      </c>
      <c r="H15" s="319">
        <f t="shared" si="5"/>
        <v>50588.067373032638</v>
      </c>
      <c r="I15" s="319">
        <f t="shared" si="0"/>
        <v>2010972.0363016156</v>
      </c>
      <c r="J15" s="319">
        <f t="shared" si="3"/>
        <v>1170404.0341532351</v>
      </c>
      <c r="L15" s="6"/>
      <c r="M15" s="334" t="s">
        <v>292</v>
      </c>
      <c r="N15" s="334" t="s">
        <v>302</v>
      </c>
      <c r="O15" s="139" t="s">
        <v>153</v>
      </c>
      <c r="P15" s="132"/>
      <c r="Q15" s="142"/>
      <c r="R15" s="142"/>
      <c r="S15" s="142"/>
    </row>
    <row r="16" spans="1:19" ht="15" customHeight="1">
      <c r="B16" s="382">
        <v>2029</v>
      </c>
      <c r="C16" s="319">
        <f>($N$9*$M$27)*(1+$M$23)^(B16-2020)</f>
        <v>7432.8324704520101</v>
      </c>
      <c r="D16" s="319">
        <f>($N$16*$M$27)*(1+$M$23)^(B16-2020)</f>
        <v>4212.2309159586366</v>
      </c>
      <c r="E16" s="319">
        <f t="shared" si="6"/>
        <v>2973.1329881808042</v>
      </c>
      <c r="F16" s="356">
        <f t="shared" si="7"/>
        <v>1053.0577289896592</v>
      </c>
      <c r="G16" s="319">
        <f t="shared" si="4"/>
        <v>4459.6994822712059</v>
      </c>
      <c r="H16" s="319">
        <f t="shared" si="5"/>
        <v>3159.1731869689775</v>
      </c>
      <c r="I16" s="319">
        <f t="shared" si="0"/>
        <v>7618.8726692401833</v>
      </c>
      <c r="J16" s="319">
        <f t="shared" si="3"/>
        <v>4144.1619252518913</v>
      </c>
      <c r="L16" s="140" t="s">
        <v>154</v>
      </c>
      <c r="M16" s="137">
        <v>2400</v>
      </c>
      <c r="N16" s="137">
        <f>M16*$M$20</f>
        <v>2650.0800000000004</v>
      </c>
      <c r="O16" s="139" t="s">
        <v>155</v>
      </c>
      <c r="P16" s="132"/>
      <c r="Q16" s="142"/>
      <c r="R16" s="142"/>
      <c r="S16" s="142"/>
    </row>
    <row r="17" spans="1:19">
      <c r="B17" s="381">
        <v>2030</v>
      </c>
      <c r="C17" s="319">
        <f t="shared" ref="C17:C25" si="8">($N$9*$M$27)*(1+$M$23)^(B17-2020)</f>
        <v>7581.4891198610512</v>
      </c>
      <c r="D17" s="319">
        <f t="shared" ref="D17:D25" si="9">($N$16*$M$27)*(1+$M$23)^(B17-2020)</f>
        <v>4296.4755342778099</v>
      </c>
      <c r="E17" s="319">
        <f t="shared" si="6"/>
        <v>3032.5956479444203</v>
      </c>
      <c r="F17" s="356">
        <f t="shared" si="7"/>
        <v>1074.1188835694525</v>
      </c>
      <c r="G17" s="319">
        <f>(C12-E17)</f>
        <v>3834.1926323040261</v>
      </c>
      <c r="H17" s="319">
        <f t="shared" si="5"/>
        <v>3222.3566507083574</v>
      </c>
      <c r="I17" s="319">
        <f t="shared" si="0"/>
        <v>7056.549283012384</v>
      </c>
      <c r="J17" s="319">
        <f t="shared" si="3"/>
        <v>3587.1918329330956</v>
      </c>
      <c r="L17" s="140" t="s">
        <v>159</v>
      </c>
      <c r="M17" s="137">
        <v>30000</v>
      </c>
      <c r="N17" s="137">
        <f>M17*$M$20</f>
        <v>33126</v>
      </c>
      <c r="O17" s="139" t="s">
        <v>156</v>
      </c>
      <c r="P17" s="132"/>
      <c r="R17" s="142"/>
      <c r="S17" s="142"/>
    </row>
    <row r="18" spans="1:19">
      <c r="B18" s="382">
        <v>2031</v>
      </c>
      <c r="C18" s="319">
        <f t="shared" si="8"/>
        <v>7733.1189022582703</v>
      </c>
      <c r="D18" s="319">
        <f t="shared" si="9"/>
        <v>4382.4050449633651</v>
      </c>
      <c r="E18" s="319">
        <f t="shared" si="6"/>
        <v>3093.2475609033081</v>
      </c>
      <c r="F18" s="356">
        <f t="shared" si="7"/>
        <v>1095.6012612408413</v>
      </c>
      <c r="G18" s="319">
        <f t="shared" ref="G18:G27" si="10">(C18-E18)</f>
        <v>4639.8713413549622</v>
      </c>
      <c r="H18" s="319">
        <f t="shared" si="5"/>
        <v>3286.8037837225238</v>
      </c>
      <c r="I18" s="319">
        <f t="shared" si="0"/>
        <v>7926.675125077486</v>
      </c>
      <c r="J18" s="319">
        <f t="shared" si="3"/>
        <v>3765.9062512289861</v>
      </c>
      <c r="S18" s="142"/>
    </row>
    <row r="19" spans="1:19" s="210" customFormat="1">
      <c r="B19" s="381">
        <v>2032</v>
      </c>
      <c r="C19" s="319">
        <f t="shared" si="8"/>
        <v>7887.7812803034367</v>
      </c>
      <c r="D19" s="319">
        <f t="shared" si="9"/>
        <v>4470.0531458626328</v>
      </c>
      <c r="E19" s="319">
        <f t="shared" si="6"/>
        <v>3155.1125121213749</v>
      </c>
      <c r="F19" s="356">
        <f t="shared" si="7"/>
        <v>1117.5132864656582</v>
      </c>
      <c r="G19" s="319">
        <f t="shared" si="10"/>
        <v>4732.6687681820622</v>
      </c>
      <c r="H19" s="319">
        <f t="shared" si="5"/>
        <v>3352.5398593969749</v>
      </c>
      <c r="I19" s="319">
        <f t="shared" si="0"/>
        <v>8085.2086275790371</v>
      </c>
      <c r="J19" s="319">
        <f t="shared" si="3"/>
        <v>3589.9293236014646</v>
      </c>
      <c r="L19" s="29" t="s">
        <v>163</v>
      </c>
      <c r="M19" s="87"/>
      <c r="N19" s="50"/>
      <c r="O19" s="50"/>
      <c r="P19"/>
    </row>
    <row r="20" spans="1:19" s="210" customFormat="1">
      <c r="B20" s="382">
        <v>2033</v>
      </c>
      <c r="C20" s="319">
        <f t="shared" si="8"/>
        <v>8045.5369059095055</v>
      </c>
      <c r="D20" s="319">
        <f t="shared" si="9"/>
        <v>4559.4542087798854</v>
      </c>
      <c r="E20" s="319">
        <f t="shared" si="6"/>
        <v>3218.214762363802</v>
      </c>
      <c r="F20" s="356">
        <f t="shared" si="7"/>
        <v>1139.8635521949714</v>
      </c>
      <c r="G20" s="319">
        <f t="shared" si="10"/>
        <v>4827.3221435457035</v>
      </c>
      <c r="H20" s="319">
        <f t="shared" si="5"/>
        <v>3419.5906565849141</v>
      </c>
      <c r="I20" s="319">
        <f t="shared" si="0"/>
        <v>8246.9128001306181</v>
      </c>
      <c r="J20" s="319">
        <f t="shared" si="3"/>
        <v>3422.1756168911156</v>
      </c>
      <c r="L20" s="79" t="s">
        <v>312</v>
      </c>
      <c r="M20" s="201">
        <v>1.1042000000000001</v>
      </c>
      <c r="N20" s="51"/>
      <c r="O20" s="51"/>
      <c r="P20" s="142"/>
    </row>
    <row r="21" spans="1:19" s="210" customFormat="1">
      <c r="B21" s="381">
        <v>2034</v>
      </c>
      <c r="C21" s="319">
        <f t="shared" si="8"/>
        <v>8206.4476440276958</v>
      </c>
      <c r="D21" s="319">
        <f t="shared" si="9"/>
        <v>4650.643292955484</v>
      </c>
      <c r="E21" s="319">
        <f t="shared" si="6"/>
        <v>3282.5790576110785</v>
      </c>
      <c r="F21" s="356">
        <f t="shared" si="7"/>
        <v>1162.660823238871</v>
      </c>
      <c r="G21" s="319">
        <f t="shared" si="10"/>
        <v>4923.8685864166173</v>
      </c>
      <c r="H21" s="319">
        <f t="shared" si="5"/>
        <v>3487.9824697166132</v>
      </c>
      <c r="I21" s="319">
        <f t="shared" si="0"/>
        <v>8411.8510561332296</v>
      </c>
      <c r="J21" s="319">
        <f t="shared" si="3"/>
        <v>3262.2608684382599</v>
      </c>
      <c r="L21"/>
      <c r="M21"/>
      <c r="N21" s="51"/>
      <c r="O21" s="51"/>
      <c r="P21" s="142"/>
    </row>
    <row r="22" spans="1:19" s="210" customFormat="1" ht="15" customHeight="1">
      <c r="B22" s="382">
        <v>2035</v>
      </c>
      <c r="C22" s="319">
        <f t="shared" si="8"/>
        <v>8370.5765969082477</v>
      </c>
      <c r="D22" s="319">
        <f t="shared" si="9"/>
        <v>4743.6561588145923</v>
      </c>
      <c r="E22" s="356">
        <f>((($N$11)*$M$27)*(1+$M$23)^(B22-2020))</f>
        <v>2255213.1988364374</v>
      </c>
      <c r="F22" s="356">
        <f>(($N$17*$O$46)*$M$29)*(1+$M$23)^(B22-2020)</f>
        <v>23718.280794072958</v>
      </c>
      <c r="G22" s="319">
        <f t="shared" si="10"/>
        <v>-2246842.6222395292</v>
      </c>
      <c r="H22" s="319">
        <f t="shared" si="5"/>
        <v>-18974.624635258366</v>
      </c>
      <c r="I22" s="319">
        <f t="shared" si="0"/>
        <v>-2265817.2468747874</v>
      </c>
      <c r="J22" s="319">
        <f t="shared" si="3"/>
        <v>-821236.44236677652</v>
      </c>
      <c r="L22" s="6" t="s">
        <v>164</v>
      </c>
      <c r="M22" s="142"/>
      <c r="N22" s="51"/>
      <c r="O22" s="51"/>
      <c r="P22" s="142"/>
    </row>
    <row r="23" spans="1:19">
      <c r="B23" s="381">
        <v>2036</v>
      </c>
      <c r="C23" s="319">
        <f t="shared" si="8"/>
        <v>8537.9881288464148</v>
      </c>
      <c r="D23" s="319">
        <f t="shared" si="9"/>
        <v>4838.5292819908846</v>
      </c>
      <c r="E23" s="319">
        <f>(($N$9*$M$34)*$M$27)*(1+$M$23)^(B23-2020)</f>
        <v>3415.1952515385656</v>
      </c>
      <c r="F23" s="356">
        <f>(($N$16*$O$47)*$M$29)*(1+$M$23)^(B23-2020)</f>
        <v>1209.6323204977211</v>
      </c>
      <c r="G23" s="319">
        <f t="shared" si="10"/>
        <v>5122.7928773078493</v>
      </c>
      <c r="H23" s="319">
        <f t="shared" si="5"/>
        <v>3628.8969614931634</v>
      </c>
      <c r="I23" s="319">
        <f t="shared" si="0"/>
        <v>8751.6898388010122</v>
      </c>
      <c r="J23" s="319">
        <f t="shared" si="3"/>
        <v>2964.5001375868333</v>
      </c>
      <c r="L23" s="141" t="s">
        <v>158</v>
      </c>
      <c r="M23" s="149">
        <v>0.02</v>
      </c>
      <c r="N23" s="51"/>
      <c r="O23" s="51"/>
      <c r="S23" s="142"/>
    </row>
    <row r="24" spans="1:19">
      <c r="B24" s="382">
        <v>2037</v>
      </c>
      <c r="C24" s="319">
        <f t="shared" si="8"/>
        <v>8708.7478914233434</v>
      </c>
      <c r="D24" s="319">
        <f t="shared" si="9"/>
        <v>4935.2998676307025</v>
      </c>
      <c r="E24" s="319">
        <f t="shared" ref="E24:E27" si="11">(($N$9*$M$34)*$M$27)*(1+$M$23)^(B24-2020)</f>
        <v>3483.4991565693372</v>
      </c>
      <c r="F24" s="356">
        <f t="shared" ref="F24:F27" si="12">(($N$16*$O$47)*$M$29)*(1+$M$23)^(B24-2020)</f>
        <v>1233.8249669076756</v>
      </c>
      <c r="G24" s="319">
        <f t="shared" si="10"/>
        <v>5225.2487348540062</v>
      </c>
      <c r="H24" s="319">
        <f t="shared" si="5"/>
        <v>3701.4749007230266</v>
      </c>
      <c r="I24" s="319">
        <f t="shared" si="0"/>
        <v>8926.7236355770328</v>
      </c>
      <c r="J24" s="319">
        <f t="shared" si="3"/>
        <v>2825.9720937743646</v>
      </c>
      <c r="L24" s="142"/>
      <c r="M24" s="142"/>
      <c r="N24" s="51"/>
      <c r="O24" s="51"/>
      <c r="S24" s="142"/>
    </row>
    <row r="25" spans="1:19">
      <c r="B25" s="381">
        <v>2038</v>
      </c>
      <c r="C25" s="319">
        <f t="shared" si="8"/>
        <v>8882.9228492518087</v>
      </c>
      <c r="D25" s="319">
        <f t="shared" si="9"/>
        <v>5034.0058649833163</v>
      </c>
      <c r="E25" s="319">
        <f t="shared" si="11"/>
        <v>3553.1691397007235</v>
      </c>
      <c r="F25" s="356">
        <f t="shared" si="12"/>
        <v>1258.5014662458291</v>
      </c>
      <c r="G25" s="319">
        <f t="shared" si="10"/>
        <v>5329.7537095510852</v>
      </c>
      <c r="H25" s="319">
        <f t="shared" si="5"/>
        <v>3775.5043987374875</v>
      </c>
      <c r="I25" s="319">
        <f t="shared" si="0"/>
        <v>9105.2581082885736</v>
      </c>
      <c r="J25" s="319">
        <f t="shared" si="3"/>
        <v>2693.9173230372444</v>
      </c>
      <c r="L25" s="29" t="s">
        <v>165</v>
      </c>
      <c r="S25" s="142"/>
    </row>
    <row r="26" spans="1:19">
      <c r="B26" s="382">
        <v>2039</v>
      </c>
      <c r="C26" s="356">
        <f>(($N$11*$M$27)*(1+$M$23)^(B26-2020))</f>
        <v>2441115.2940770346</v>
      </c>
      <c r="D26" s="383">
        <f>(($N$17*$M$27)*(1+$M$23)^(B26-2020))</f>
        <v>64183.574778537273</v>
      </c>
      <c r="E26" s="319">
        <f t="shared" si="11"/>
        <v>3624.2325224947381</v>
      </c>
      <c r="F26" s="356">
        <f t="shared" si="12"/>
        <v>1283.6714955707455</v>
      </c>
      <c r="G26" s="319">
        <f t="shared" si="10"/>
        <v>2437491.0615545399</v>
      </c>
      <c r="H26" s="319">
        <f t="shared" si="5"/>
        <v>62899.90328296653</v>
      </c>
      <c r="I26" s="319">
        <f t="shared" si="0"/>
        <v>2500390.9648375064</v>
      </c>
      <c r="J26" s="319">
        <f t="shared" si="3"/>
        <v>691378.93756258348</v>
      </c>
      <c r="L26" s="202"/>
      <c r="M26" s="547" t="s">
        <v>175</v>
      </c>
      <c r="N26" s="547"/>
      <c r="O26" s="547"/>
      <c r="P26" s="142"/>
      <c r="S26" s="142"/>
    </row>
    <row r="27" spans="1:19" ht="15" customHeight="1" thickBot="1">
      <c r="B27" s="384">
        <v>2040</v>
      </c>
      <c r="C27" s="327">
        <f>($N$9*$M$27)*(1+$M$23)^(B27-2020)</f>
        <v>9241.7929323615826</v>
      </c>
      <c r="D27" s="327">
        <f>($N$16*$M$27)*(1+$M$23)^(B27-2020)</f>
        <v>5237.3797019286421</v>
      </c>
      <c r="E27" s="319">
        <f t="shared" si="11"/>
        <v>3696.7171729446331</v>
      </c>
      <c r="F27" s="356">
        <f t="shared" si="12"/>
        <v>1309.3449254821605</v>
      </c>
      <c r="G27" s="319">
        <f t="shared" si="10"/>
        <v>5545.0757594169499</v>
      </c>
      <c r="H27" s="319">
        <f t="shared" si="5"/>
        <v>3928.0347764464814</v>
      </c>
      <c r="I27" s="319">
        <f t="shared" si="0"/>
        <v>9473.1105358634304</v>
      </c>
      <c r="J27" s="319">
        <f t="shared" si="3"/>
        <v>2448.031778223381</v>
      </c>
      <c r="L27" s="203" t="s">
        <v>311</v>
      </c>
      <c r="M27" s="549">
        <v>1.33</v>
      </c>
      <c r="N27" s="549"/>
      <c r="O27" s="549"/>
      <c r="P27" s="142"/>
    </row>
    <row r="28" spans="1:19" ht="15.75" thickBot="1">
      <c r="B28" s="4"/>
      <c r="E28" s="553" t="s">
        <v>227</v>
      </c>
      <c r="F28" s="554"/>
      <c r="G28" s="160">
        <f t="shared" ref="G28" si="13">SUM(G7:G27)</f>
        <v>2212281.9735905216</v>
      </c>
      <c r="H28" s="160">
        <f>SUM(H7:H27)</f>
        <v>138407.74945866791</v>
      </c>
      <c r="I28" s="160">
        <f>SUM(I7:I27)</f>
        <v>2350689.7230491894</v>
      </c>
      <c r="J28" s="160">
        <f>SUM(J7:J27)</f>
        <v>1087613.4146229108</v>
      </c>
      <c r="L28" s="203" t="s">
        <v>174</v>
      </c>
      <c r="M28" s="546">
        <v>1.62</v>
      </c>
      <c r="N28" s="546"/>
      <c r="O28" s="546"/>
    </row>
    <row r="29" spans="1:19" ht="15" customHeight="1">
      <c r="E29" s="555"/>
      <c r="F29" s="555"/>
      <c r="G29" s="340"/>
      <c r="H29" s="340"/>
      <c r="I29" s="340"/>
      <c r="J29" s="340"/>
      <c r="L29" s="548" t="s">
        <v>225</v>
      </c>
      <c r="M29" s="549">
        <v>1.33</v>
      </c>
      <c r="N29" s="549"/>
      <c r="O29" s="549"/>
    </row>
    <row r="30" spans="1:19" s="111" customFormat="1">
      <c r="B30" s="6"/>
      <c r="C30" s="210"/>
      <c r="D30" s="210"/>
      <c r="E30" s="210"/>
      <c r="F30" s="210"/>
      <c r="G30" s="142"/>
      <c r="H30" s="210"/>
      <c r="I30" s="210"/>
      <c r="J30"/>
      <c r="L30" s="548"/>
      <c r="M30" s="549"/>
      <c r="N30" s="549"/>
      <c r="O30" s="549"/>
      <c r="P30" s="210"/>
      <c r="Q30" s="210"/>
      <c r="R30"/>
      <c r="S30"/>
    </row>
    <row r="31" spans="1:19" ht="15" customHeight="1">
      <c r="A31" s="77" t="s">
        <v>24</v>
      </c>
      <c r="B31" s="535" t="s">
        <v>239</v>
      </c>
      <c r="C31" s="535"/>
      <c r="D31" s="535"/>
      <c r="E31" s="535"/>
      <c r="F31" s="535"/>
      <c r="G31" s="535"/>
      <c r="H31" s="535"/>
      <c r="I31" s="535"/>
      <c r="J31" s="535"/>
      <c r="L31" s="548"/>
      <c r="M31" s="549"/>
      <c r="N31" s="549"/>
      <c r="O31" s="549"/>
      <c r="P31" s="210"/>
      <c r="Q31" s="210"/>
    </row>
    <row r="32" spans="1:19">
      <c r="B32" s="535"/>
      <c r="C32" s="535"/>
      <c r="D32" s="535"/>
      <c r="E32" s="535"/>
      <c r="F32" s="535"/>
      <c r="G32" s="535"/>
      <c r="H32" s="535"/>
      <c r="I32" s="535"/>
      <c r="J32" s="535"/>
    </row>
    <row r="33" spans="1:19" ht="17.25">
      <c r="B33" s="535"/>
      <c r="C33" s="535"/>
      <c r="D33" s="535"/>
      <c r="E33" s="535"/>
      <c r="F33" s="535"/>
      <c r="G33" s="535"/>
      <c r="H33" s="535"/>
      <c r="I33" s="535"/>
      <c r="J33" s="535"/>
      <c r="L33" s="6" t="s">
        <v>166</v>
      </c>
      <c r="M33" s="142"/>
      <c r="N33" s="142"/>
      <c r="O33" s="142"/>
      <c r="P33" s="111"/>
      <c r="Q33" s="142"/>
    </row>
    <row r="34" spans="1:19">
      <c r="A34" s="7"/>
      <c r="B34" s="26"/>
      <c r="C34" s="26"/>
      <c r="D34" s="26"/>
      <c r="E34" s="26"/>
      <c r="F34" s="26"/>
      <c r="G34" s="26"/>
      <c r="H34" s="26"/>
      <c r="I34" s="26"/>
      <c r="J34" s="26"/>
      <c r="L34" s="285" t="s">
        <v>160</v>
      </c>
      <c r="M34" s="291">
        <v>0.4</v>
      </c>
      <c r="N34" s="142"/>
      <c r="O34" s="142"/>
      <c r="Q34" s="142"/>
    </row>
    <row r="35" spans="1:19" ht="15" customHeight="1">
      <c r="A35" s="7" t="s">
        <v>23</v>
      </c>
      <c r="B35" s="535" t="s">
        <v>161</v>
      </c>
      <c r="C35" s="535"/>
      <c r="D35" s="535"/>
      <c r="E35" s="535"/>
      <c r="F35" s="535"/>
      <c r="G35" s="535"/>
      <c r="H35" s="535"/>
      <c r="I35" s="535"/>
      <c r="J35" s="535"/>
      <c r="L35" s="142"/>
      <c r="M35" s="111"/>
      <c r="N35" s="111"/>
      <c r="O35" s="111"/>
    </row>
    <row r="36" spans="1:19">
      <c r="B36" s="535"/>
      <c r="C36" s="535"/>
      <c r="D36" s="535"/>
      <c r="E36" s="535"/>
      <c r="F36" s="535"/>
      <c r="G36" s="535"/>
      <c r="H36" s="535"/>
      <c r="I36" s="535"/>
      <c r="J36" s="535"/>
      <c r="K36" s="26"/>
      <c r="L36" s="212" t="s">
        <v>354</v>
      </c>
      <c r="R36" s="111"/>
    </row>
    <row r="37" spans="1:19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29" t="s">
        <v>296</v>
      </c>
      <c r="M37" s="273">
        <v>2025</v>
      </c>
    </row>
    <row r="38" spans="1:19">
      <c r="A38" s="7" t="s">
        <v>25</v>
      </c>
      <c r="B38" s="556" t="s">
        <v>176</v>
      </c>
      <c r="C38" s="556"/>
      <c r="D38" s="556"/>
      <c r="E38" s="556"/>
      <c r="F38" s="556"/>
      <c r="G38" s="556"/>
      <c r="H38" s="556"/>
      <c r="I38" s="556"/>
      <c r="J38" s="556"/>
      <c r="K38" s="26"/>
      <c r="L38" s="351" t="s">
        <v>399</v>
      </c>
      <c r="M38" s="273">
        <v>2027</v>
      </c>
    </row>
    <row r="39" spans="1:19">
      <c r="K39" s="26"/>
      <c r="L39" s="389" t="s">
        <v>365</v>
      </c>
      <c r="M39" s="273">
        <v>2028</v>
      </c>
      <c r="Q39" s="111"/>
    </row>
    <row r="40" spans="1:19" ht="15" customHeight="1">
      <c r="A40" s="7" t="s">
        <v>27</v>
      </c>
      <c r="B40" s="552" t="s">
        <v>177</v>
      </c>
      <c r="C40" s="552"/>
      <c r="D40" s="552"/>
      <c r="E40" s="552"/>
      <c r="F40" s="552"/>
      <c r="G40" s="552"/>
      <c r="H40" s="552"/>
      <c r="I40" s="552"/>
      <c r="J40" s="552"/>
      <c r="L40" s="389" t="s">
        <v>368</v>
      </c>
      <c r="M40" s="273">
        <v>2029</v>
      </c>
      <c r="N40" s="210"/>
      <c r="O40" s="210"/>
      <c r="P40" s="210"/>
    </row>
    <row r="41" spans="1:19">
      <c r="B41" s="552"/>
      <c r="C41" s="552"/>
      <c r="D41" s="552"/>
      <c r="E41" s="552"/>
      <c r="F41" s="552"/>
      <c r="G41" s="552"/>
      <c r="H41" s="552"/>
      <c r="I41" s="552"/>
      <c r="J41" s="552"/>
      <c r="L41" s="211"/>
      <c r="M41" s="211"/>
      <c r="N41" s="211"/>
      <c r="O41" s="142"/>
      <c r="S41" s="111"/>
    </row>
    <row r="42" spans="1:19" ht="15" customHeight="1">
      <c r="L42" s="212" t="s">
        <v>376</v>
      </c>
    </row>
    <row r="43" spans="1:19" ht="14.45" customHeight="1">
      <c r="A43" s="7"/>
      <c r="L43" s="545" t="s">
        <v>355</v>
      </c>
      <c r="M43" s="546" t="s">
        <v>356</v>
      </c>
      <c r="N43" s="547" t="s">
        <v>357</v>
      </c>
      <c r="O43" s="547" t="s">
        <v>358</v>
      </c>
    </row>
    <row r="44" spans="1:19">
      <c r="L44" s="545"/>
      <c r="M44" s="546"/>
      <c r="N44" s="547"/>
      <c r="O44" s="547"/>
    </row>
    <row r="45" spans="1:19">
      <c r="L45" s="545"/>
      <c r="M45" s="546"/>
      <c r="N45" s="547"/>
      <c r="O45" s="547"/>
    </row>
    <row r="46" spans="1:19">
      <c r="L46" s="378" t="s">
        <v>359</v>
      </c>
      <c r="M46" s="377">
        <v>5</v>
      </c>
      <c r="N46" s="376">
        <v>2</v>
      </c>
      <c r="O46" s="385">
        <v>0.4</v>
      </c>
    </row>
    <row r="47" spans="1:19">
      <c r="L47" s="140" t="s">
        <v>311</v>
      </c>
      <c r="M47" s="386">
        <v>4</v>
      </c>
      <c r="N47" s="386">
        <v>1</v>
      </c>
      <c r="O47" s="149">
        <v>0.25</v>
      </c>
    </row>
    <row r="48" spans="1:19">
      <c r="M48" s="145"/>
    </row>
    <row r="50" spans="12:15">
      <c r="L50" s="26"/>
    </row>
    <row r="51" spans="12:15" ht="15.75">
      <c r="L51" s="26"/>
      <c r="O51" s="163" t="s">
        <v>270</v>
      </c>
    </row>
    <row r="52" spans="12:15">
      <c r="L52" s="26"/>
    </row>
    <row r="53" spans="12:15">
      <c r="L53" s="26"/>
    </row>
  </sheetData>
  <mergeCells count="27">
    <mergeCell ref="C3:F3"/>
    <mergeCell ref="J4:J6"/>
    <mergeCell ref="C4:C6"/>
    <mergeCell ref="D4:D6"/>
    <mergeCell ref="E4:E6"/>
    <mergeCell ref="F4:F6"/>
    <mergeCell ref="H4:H6"/>
    <mergeCell ref="I4:I6"/>
    <mergeCell ref="G4:G6"/>
    <mergeCell ref="B40:J41"/>
    <mergeCell ref="B31:J33"/>
    <mergeCell ref="B4:B6"/>
    <mergeCell ref="E28:F28"/>
    <mergeCell ref="E29:F29"/>
    <mergeCell ref="B38:J38"/>
    <mergeCell ref="B35:J36"/>
    <mergeCell ref="L4:O4"/>
    <mergeCell ref="L13:O14"/>
    <mergeCell ref="M26:O26"/>
    <mergeCell ref="M27:O27"/>
    <mergeCell ref="M28:O28"/>
    <mergeCell ref="L43:L45"/>
    <mergeCell ref="M43:M45"/>
    <mergeCell ref="N43:N45"/>
    <mergeCell ref="O43:O45"/>
    <mergeCell ref="L29:L31"/>
    <mergeCell ref="M29:O31"/>
  </mergeCells>
  <pageMargins left="0.2" right="0.2" top="0.25" bottom="0.25" header="0.3" footer="0.3"/>
  <pageSetup paperSize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AB62"/>
  <sheetViews>
    <sheetView topLeftCell="A2" zoomScaleNormal="100" zoomScaleSheetLayoutView="70" workbookViewId="0">
      <selection activeCell="D29" sqref="D29"/>
    </sheetView>
  </sheetViews>
  <sheetFormatPr defaultRowHeight="15"/>
  <cols>
    <col min="2" max="2" width="10.7109375" customWidth="1"/>
    <col min="3" max="3" width="10.7109375" style="210" customWidth="1"/>
    <col min="4" max="4" width="14" style="61" customWidth="1"/>
    <col min="5" max="7" width="14" customWidth="1"/>
    <col min="8" max="12" width="14" style="210" customWidth="1"/>
    <col min="13" max="13" width="15.42578125" style="210" customWidth="1"/>
    <col min="14" max="14" width="15.42578125" customWidth="1"/>
    <col min="16" max="16" width="9.140625" style="142"/>
    <col min="17" max="17" width="11.5703125" style="49" bestFit="1" customWidth="1"/>
    <col min="18" max="18" width="14.85546875" customWidth="1"/>
    <col min="19" max="24" width="14.42578125" customWidth="1"/>
    <col min="25" max="25" width="18.85546875" customWidth="1"/>
    <col min="27" max="27" width="11" bestFit="1" customWidth="1"/>
  </cols>
  <sheetData>
    <row r="1" spans="1:28">
      <c r="A1" s="17"/>
      <c r="B1" s="17"/>
      <c r="C1" s="17"/>
      <c r="D1"/>
      <c r="O1" s="142"/>
      <c r="P1" s="60"/>
      <c r="Q1"/>
    </row>
    <row r="2" spans="1:28">
      <c r="B2" s="18" t="s">
        <v>26</v>
      </c>
      <c r="C2" s="18"/>
      <c r="D2" s="83"/>
      <c r="E2" s="17"/>
      <c r="F2" s="17"/>
      <c r="G2" s="17"/>
      <c r="H2" s="17"/>
      <c r="I2" s="17"/>
      <c r="J2" s="17"/>
      <c r="K2" s="17"/>
      <c r="L2" s="17"/>
      <c r="M2" s="17"/>
      <c r="Q2"/>
    </row>
    <row r="3" spans="1:28" ht="18" thickBot="1">
      <c r="Q3" s="81" t="s">
        <v>343</v>
      </c>
    </row>
    <row r="4" spans="1:28" ht="31.9" customHeight="1">
      <c r="B4" s="586" t="s">
        <v>0</v>
      </c>
      <c r="C4" s="586" t="s">
        <v>389</v>
      </c>
      <c r="D4" s="593" t="s">
        <v>390</v>
      </c>
      <c r="E4" s="591" t="s">
        <v>391</v>
      </c>
      <c r="F4" s="589" t="s">
        <v>406</v>
      </c>
      <c r="G4" s="591" t="s">
        <v>407</v>
      </c>
      <c r="H4" s="589" t="s">
        <v>366</v>
      </c>
      <c r="I4" s="591" t="s">
        <v>366</v>
      </c>
      <c r="J4" s="589" t="s">
        <v>408</v>
      </c>
      <c r="K4" s="591" t="s">
        <v>367</v>
      </c>
      <c r="L4" s="607" t="s">
        <v>295</v>
      </c>
      <c r="M4" s="586" t="s">
        <v>203</v>
      </c>
      <c r="N4" s="595" t="s">
        <v>1</v>
      </c>
      <c r="Q4" s="210"/>
      <c r="R4" s="210"/>
      <c r="S4" s="598" t="s">
        <v>193</v>
      </c>
      <c r="T4" s="599"/>
      <c r="U4" s="600"/>
      <c r="V4" s="575" t="s">
        <v>194</v>
      </c>
      <c r="W4" s="575"/>
      <c r="X4" s="575"/>
      <c r="Y4" s="575"/>
    </row>
    <row r="5" spans="1:28" ht="63" customHeight="1" thickBot="1">
      <c r="B5" s="587"/>
      <c r="C5" s="587"/>
      <c r="D5" s="594"/>
      <c r="E5" s="592"/>
      <c r="F5" s="590"/>
      <c r="G5" s="592"/>
      <c r="H5" s="590"/>
      <c r="I5" s="592"/>
      <c r="J5" s="590"/>
      <c r="K5" s="592"/>
      <c r="L5" s="608"/>
      <c r="M5" s="587"/>
      <c r="N5" s="596"/>
      <c r="Q5" s="562" t="s">
        <v>180</v>
      </c>
      <c r="R5" s="563"/>
      <c r="S5" s="226" t="s">
        <v>232</v>
      </c>
      <c r="T5" s="227" t="s">
        <v>409</v>
      </c>
      <c r="U5" s="228" t="s">
        <v>195</v>
      </c>
      <c r="V5" s="228" t="s">
        <v>196</v>
      </c>
      <c r="W5" s="228" t="s">
        <v>197</v>
      </c>
      <c r="X5" s="228" t="s">
        <v>259</v>
      </c>
      <c r="Y5" s="228" t="s">
        <v>298</v>
      </c>
    </row>
    <row r="6" spans="1:28">
      <c r="B6" s="1">
        <v>2020</v>
      </c>
      <c r="C6" s="237">
        <v>0</v>
      </c>
      <c r="D6" s="371">
        <f>-((TREND($E$47:$F$47,$I$47:$J$47,B6)*TREND($G$47:$H$47,$I$47:$J$47,B6))/3600)*12*260</f>
        <v>-174098.77333333349</v>
      </c>
      <c r="E6" s="356">
        <f>D6*($W$49*(1+0.02)^(B6-2020))</f>
        <v>-4826366.194346671</v>
      </c>
      <c r="F6" s="371">
        <f t="shared" ref="F6:F12" si="0">-((TREND($E$48:$F$48,$I$48:$J$48,B6)*TREND($G$48:$H$48,$I$48:$J$48,B6))/3600)*12*260</f>
        <v>-201168.7599999989</v>
      </c>
      <c r="G6" s="356">
        <f>F6*($W$49*(1+0.02)^($B6-2020))</f>
        <v>-5576800.3647199702</v>
      </c>
      <c r="H6" s="370">
        <f t="shared" ref="H6:H12" si="1">-((TREND($E$49:$F$49,$I$49:$J$49,B6)*TREND($G$49:$H$49,$I$49:$J$49,B6))/3600)*12*260</f>
        <v>-179960.38666666602</v>
      </c>
      <c r="I6" s="356">
        <f>H6*($W$49*(1+0.02)^($B6-2020))</f>
        <v>-4988861.839173316</v>
      </c>
      <c r="J6" s="370">
        <f>-((TREND($E$50:$F$50,$I$50:$J$50,B6)*TREND($G$50:$H$50,$I$50:$J$50,2020))/3600)*12*260</f>
        <v>-111356.95999999972</v>
      </c>
      <c r="K6" s="356">
        <f>J6*($W$49*(1+0.02)^($B6-2020))</f>
        <v>-3087037.6451199921</v>
      </c>
      <c r="L6" s="369">
        <f t="shared" ref="L6:L26" si="2">SUM(D6,F6,H6,J6)</f>
        <v>-666584.87999999814</v>
      </c>
      <c r="M6" s="356">
        <f t="shared" ref="M6:M26" si="3">SUM(E6,G6,I6,K6)</f>
        <v>-18479066.04335995</v>
      </c>
      <c r="N6" s="356">
        <f>M6*(1+0.07)^-(B6-2020)</f>
        <v>-18479066.04335995</v>
      </c>
      <c r="Q6" s="562" t="s">
        <v>296</v>
      </c>
      <c r="R6" s="563"/>
      <c r="S6" s="219">
        <v>47.2</v>
      </c>
      <c r="T6" s="220">
        <v>9.3000000000000007</v>
      </c>
      <c r="U6" s="221">
        <f>S6-T6</f>
        <v>37.900000000000006</v>
      </c>
      <c r="V6" s="225">
        <v>4256</v>
      </c>
      <c r="W6" s="222">
        <f>U6*V6</f>
        <v>161302.40000000002</v>
      </c>
      <c r="X6" s="239">
        <f>W6/3600</f>
        <v>44.806222222222232</v>
      </c>
      <c r="Y6" s="224">
        <f>ROUND((X6*12),0)</f>
        <v>538</v>
      </c>
      <c r="Z6" s="209"/>
      <c r="AA6" s="209"/>
    </row>
    <row r="7" spans="1:28">
      <c r="A7" s="7"/>
      <c r="B7" s="2">
        <v>2021</v>
      </c>
      <c r="C7" s="238">
        <v>1</v>
      </c>
      <c r="D7" s="371">
        <f>-((TREND($E$47:$F$47,$I$47:$J$47,B7)*TREND($G$47:$H$47,$I$47:$J$47,B7))/3600)*12*260</f>
        <v>-177776.0465000004</v>
      </c>
      <c r="E7" s="356">
        <f t="shared" ref="E7:E26" si="4">D7*($W$49*(1+0.02)^(B7-2020))</f>
        <v>-5026873.7122944715</v>
      </c>
      <c r="F7" s="371">
        <f t="shared" si="0"/>
        <v>-203232.78516666603</v>
      </c>
      <c r="G7" s="356">
        <f t="shared" ref="G7:G26" si="5">F7*($W$49*(1+0.02)^($B7-2020))</f>
        <v>-5746699.6557981223</v>
      </c>
      <c r="H7" s="370">
        <f t="shared" si="1"/>
        <v>-187746.19499999931</v>
      </c>
      <c r="I7" s="356">
        <f t="shared" ref="I7:I26" si="6">H7*($W$49*(1+0.02)^($B7-2020))</f>
        <v>-5308794.018145781</v>
      </c>
      <c r="J7" s="370">
        <f t="shared" ref="J7:J12" si="7">-((TREND($E$50:$F$50,$I$50:$J$50,B7)*TREND($G$50:$H$50,$I$50:$J$50,B7)/3600)*12*260)</f>
        <v>-114740.48256666679</v>
      </c>
      <c r="K7" s="356">
        <f t="shared" ref="K7:K26" si="8">J7*($W$49*(1+0.02)^($B7-2020))</f>
        <v>-3244452.3708673995</v>
      </c>
      <c r="L7" s="369">
        <f t="shared" si="2"/>
        <v>-683495.50923333247</v>
      </c>
      <c r="M7" s="356">
        <f t="shared" si="3"/>
        <v>-19326819.757105775</v>
      </c>
      <c r="N7" s="356">
        <f t="shared" ref="N7:N26" si="9">M7*(1+0.07)^-(B7-2020)</f>
        <v>-18062448.371126894</v>
      </c>
      <c r="Q7" s="562" t="s">
        <v>364</v>
      </c>
      <c r="R7" s="563"/>
      <c r="S7" s="225">
        <v>49.8</v>
      </c>
      <c r="T7" s="225">
        <v>2.5</v>
      </c>
      <c r="U7" s="221">
        <f t="shared" ref="U7:U9" si="10">S7-T7</f>
        <v>47.3</v>
      </c>
      <c r="V7" s="220">
        <v>4661</v>
      </c>
      <c r="W7" s="222">
        <f t="shared" ref="W7:W9" si="11">U7*V7</f>
        <v>220465.3</v>
      </c>
      <c r="X7" s="239">
        <f t="shared" ref="X7:X9" si="12">W7/3600</f>
        <v>61.240361111111106</v>
      </c>
      <c r="Y7" s="224">
        <f t="shared" ref="Y7:Y9" si="13">ROUND((X7*12),0)</f>
        <v>735</v>
      </c>
      <c r="Z7" s="209"/>
      <c r="AA7" s="209"/>
    </row>
    <row r="8" spans="1:28">
      <c r="B8" s="2">
        <f t="shared" ref="B8:B26" si="14">+B7+1</f>
        <v>2022</v>
      </c>
      <c r="C8" s="238">
        <v>2</v>
      </c>
      <c r="D8" s="371">
        <f>-((TREND($E$47:$F$47,$I$47:$J$47,B8)*TREND($G$47:$H$47,$I$47:$J$47,B8))/3600)*12*260</f>
        <v>-181489.17800000007</v>
      </c>
      <c r="E8" s="356">
        <f t="shared" si="4"/>
        <v>-5234505.2094136486</v>
      </c>
      <c r="F8" s="371">
        <f t="shared" si="0"/>
        <v>-205267.36533333221</v>
      </c>
      <c r="G8" s="356">
        <f t="shared" si="5"/>
        <v>-5920314.9466021694</v>
      </c>
      <c r="H8" s="370">
        <f t="shared" si="1"/>
        <v>-195630.586666666</v>
      </c>
      <c r="I8" s="356">
        <f t="shared" si="6"/>
        <v>-5642371.2769656768</v>
      </c>
      <c r="J8" s="370">
        <f t="shared" si="7"/>
        <v>-118162.85693333292</v>
      </c>
      <c r="K8" s="356">
        <f t="shared" si="8"/>
        <v>-3408049.4329900518</v>
      </c>
      <c r="L8" s="369">
        <f t="shared" si="2"/>
        <v>-700549.98693333124</v>
      </c>
      <c r="M8" s="356">
        <f t="shared" si="3"/>
        <v>-20205240.865971547</v>
      </c>
      <c r="N8" s="356">
        <f t="shared" si="9"/>
        <v>-17648039.88642811</v>
      </c>
      <c r="Q8" s="562" t="s">
        <v>365</v>
      </c>
      <c r="R8" s="563"/>
      <c r="S8" s="219">
        <v>49.7</v>
      </c>
      <c r="T8" s="220">
        <v>1.5</v>
      </c>
      <c r="U8" s="221">
        <f t="shared" si="10"/>
        <v>48.2</v>
      </c>
      <c r="V8" s="220">
        <v>4178</v>
      </c>
      <c r="W8" s="222">
        <f t="shared" si="11"/>
        <v>201379.6</v>
      </c>
      <c r="X8" s="239">
        <f t="shared" si="12"/>
        <v>55.93877777777778</v>
      </c>
      <c r="Y8" s="224">
        <f t="shared" si="13"/>
        <v>671</v>
      </c>
      <c r="Z8" s="209"/>
      <c r="AA8" s="209"/>
    </row>
    <row r="9" spans="1:28">
      <c r="B9" s="2">
        <f t="shared" si="14"/>
        <v>2023</v>
      </c>
      <c r="C9" s="238">
        <v>3</v>
      </c>
      <c r="D9" s="371">
        <f>-((TREND($E$47:$F$47,$I$47:$J$47,B9)*TREND($G$47:$H$47,$I$47:$J$47,B9))/3600)*12*260</f>
        <v>-185238.16783333366</v>
      </c>
      <c r="E9" s="356">
        <f t="shared" si="4"/>
        <v>-5449486.1263625361</v>
      </c>
      <c r="F9" s="371">
        <f t="shared" si="0"/>
        <v>-207272.5004999993</v>
      </c>
      <c r="G9" s="356">
        <f t="shared" si="5"/>
        <v>-6097709.932369343</v>
      </c>
      <c r="H9" s="370">
        <f t="shared" si="1"/>
        <v>-203613.56166666601</v>
      </c>
      <c r="I9" s="356">
        <f t="shared" si="6"/>
        <v>-5990068.3127037939</v>
      </c>
      <c r="J9" s="370">
        <f t="shared" si="7"/>
        <v>-121624.08309999997</v>
      </c>
      <c r="K9" s="356">
        <f t="shared" si="8"/>
        <v>-3578035.5703007826</v>
      </c>
      <c r="L9" s="369">
        <f t="shared" si="2"/>
        <v>-717748.31309999898</v>
      </c>
      <c r="M9" s="356">
        <f t="shared" si="3"/>
        <v>-21115299.941736456</v>
      </c>
      <c r="N9" s="356">
        <f t="shared" si="9"/>
        <v>-17236374.512352996</v>
      </c>
      <c r="Q9" s="562" t="s">
        <v>368</v>
      </c>
      <c r="R9" s="563"/>
      <c r="S9" s="219">
        <v>34.1</v>
      </c>
      <c r="T9" s="220">
        <v>7.1</v>
      </c>
      <c r="U9" s="221">
        <f t="shared" si="10"/>
        <v>27</v>
      </c>
      <c r="V9" s="220">
        <v>3768</v>
      </c>
      <c r="W9" s="222">
        <f t="shared" si="11"/>
        <v>101736</v>
      </c>
      <c r="X9" s="239">
        <f t="shared" si="12"/>
        <v>28.26</v>
      </c>
      <c r="Y9" s="224">
        <f t="shared" si="13"/>
        <v>339</v>
      </c>
      <c r="Z9" s="209"/>
      <c r="AA9" s="209"/>
    </row>
    <row r="10" spans="1:28">
      <c r="B10" s="2">
        <f t="shared" si="14"/>
        <v>2024</v>
      </c>
      <c r="C10" s="238">
        <v>4</v>
      </c>
      <c r="D10" s="371">
        <f>-((TREND($E$47:$F$47,$I$47:$J$47,B10)*TREND($G$47:$H$47,$I$47:$J$47,B10))/3600)*12*260</f>
        <v>-189023.01600000056</v>
      </c>
      <c r="E10" s="356">
        <f t="shared" si="4"/>
        <v>-5672048.4855240555</v>
      </c>
      <c r="F10" s="371">
        <f t="shared" si="0"/>
        <v>-209248.1906666655</v>
      </c>
      <c r="G10" s="356">
        <f t="shared" si="5"/>
        <v>-6278949.0300456602</v>
      </c>
      <c r="H10" s="370">
        <f t="shared" si="1"/>
        <v>-211695.11999999936</v>
      </c>
      <c r="I10" s="356">
        <f t="shared" si="6"/>
        <v>-6352374.489616788</v>
      </c>
      <c r="J10" s="370">
        <f t="shared" si="7"/>
        <v>-125124.16106666707</v>
      </c>
      <c r="K10" s="356">
        <f t="shared" si="8"/>
        <v>-3754623.7664552708</v>
      </c>
      <c r="L10" s="369">
        <f t="shared" si="2"/>
        <v>-735090.48773333256</v>
      </c>
      <c r="M10" s="356">
        <f t="shared" si="3"/>
        <v>-22057995.771641776</v>
      </c>
      <c r="N10" s="356">
        <f t="shared" si="9"/>
        <v>-16827939.361550067</v>
      </c>
      <c r="Q10" s="564" t="s">
        <v>275</v>
      </c>
      <c r="R10" s="565"/>
      <c r="S10" s="306">
        <f>SUM(S6:S9)</f>
        <v>180.79999999999998</v>
      </c>
      <c r="T10" s="306">
        <f t="shared" ref="T10:Y10" si="15">SUM(T6:T9)</f>
        <v>20.399999999999999</v>
      </c>
      <c r="U10" s="306">
        <f t="shared" si="15"/>
        <v>160.4</v>
      </c>
      <c r="V10" s="306">
        <f t="shared" si="15"/>
        <v>16863</v>
      </c>
      <c r="W10" s="306">
        <f t="shared" si="15"/>
        <v>684883.3</v>
      </c>
      <c r="X10" s="306">
        <f t="shared" si="15"/>
        <v>190.24536111111109</v>
      </c>
      <c r="Y10" s="306">
        <f t="shared" si="15"/>
        <v>2283</v>
      </c>
      <c r="Z10" s="209"/>
      <c r="AA10" s="209"/>
      <c r="AB10" s="142"/>
    </row>
    <row r="11" spans="1:28">
      <c r="B11" s="2">
        <f t="shared" si="14"/>
        <v>2025</v>
      </c>
      <c r="C11" s="238">
        <v>5</v>
      </c>
      <c r="D11" s="371">
        <f>((TREND($E$47:$F$47,$I$47:$J$47,B11)*TREND($G$47:$H$47,$I$47:$J$47,B11))/3600)*12*260</f>
        <v>192843.72250000015</v>
      </c>
      <c r="E11" s="356">
        <f t="shared" si="4"/>
        <v>5902431.0723722801</v>
      </c>
      <c r="F11" s="371">
        <f t="shared" si="0"/>
        <v>-211194.43583333262</v>
      </c>
      <c r="G11" s="356">
        <f t="shared" si="5"/>
        <v>-6464097.3748823758</v>
      </c>
      <c r="H11" s="370">
        <f t="shared" si="1"/>
        <v>-219875.26166666602</v>
      </c>
      <c r="I11" s="356">
        <f t="shared" si="6"/>
        <v>-6729794.2587024802</v>
      </c>
      <c r="J11" s="370">
        <f t="shared" si="7"/>
        <v>-128663.09083333318</v>
      </c>
      <c r="K11" s="356">
        <f t="shared" si="8"/>
        <v>-3938033.4260147996</v>
      </c>
      <c r="L11" s="369">
        <f t="shared" si="2"/>
        <v>-366889.06583333167</v>
      </c>
      <c r="M11" s="356">
        <f t="shared" si="3"/>
        <v>-11229493.987227377</v>
      </c>
      <c r="N11" s="356">
        <f t="shared" si="9"/>
        <v>-8006474.0154880732</v>
      </c>
      <c r="Q11" s="213"/>
      <c r="R11" s="213"/>
      <c r="S11" s="214"/>
      <c r="T11" s="215"/>
      <c r="U11" s="215"/>
      <c r="V11" s="216"/>
      <c r="W11" s="216"/>
      <c r="X11" s="216"/>
      <c r="Y11" s="210"/>
      <c r="Z11" s="209"/>
      <c r="AA11" s="209"/>
    </row>
    <row r="12" spans="1:28">
      <c r="B12" s="2">
        <f t="shared" si="14"/>
        <v>2026</v>
      </c>
      <c r="C12" s="238">
        <v>6</v>
      </c>
      <c r="D12" s="371">
        <f t="shared" ref="D12:D26" si="16">((TREND($E$47:$F$47,$I$47:$J$47,B12)*TREND($G$47:$H$47,$I$47:$J$47,B12))/3600)*12*260</f>
        <v>196700.28733333375</v>
      </c>
      <c r="E12" s="356">
        <f t="shared" si="4"/>
        <v>6140879.6216264721</v>
      </c>
      <c r="F12" s="371">
        <f t="shared" si="0"/>
        <v>-213111.23599999968</v>
      </c>
      <c r="G12" s="356">
        <f t="shared" si="5"/>
        <v>-6653220.8164713299</v>
      </c>
      <c r="H12" s="370">
        <f t="shared" si="1"/>
        <v>-228153.98666666599</v>
      </c>
      <c r="I12" s="356">
        <f t="shared" si="6"/>
        <v>-7122847.5886254385</v>
      </c>
      <c r="J12" s="370">
        <f t="shared" si="7"/>
        <v>-132240.87240000028</v>
      </c>
      <c r="K12" s="356">
        <f t="shared" si="8"/>
        <v>-4128490.5552329118</v>
      </c>
      <c r="L12" s="369">
        <f t="shared" si="2"/>
        <v>-376805.80773333221</v>
      </c>
      <c r="M12" s="356">
        <f t="shared" si="3"/>
        <v>-11763679.338703208</v>
      </c>
      <c r="N12" s="356">
        <f t="shared" si="9"/>
        <v>-7838636.2508158572</v>
      </c>
      <c r="Q12" s="213"/>
      <c r="R12" s="213"/>
      <c r="S12" s="601" t="s">
        <v>200</v>
      </c>
      <c r="T12" s="602"/>
      <c r="U12" s="603"/>
      <c r="V12" s="574" t="s">
        <v>194</v>
      </c>
      <c r="W12" s="574"/>
      <c r="X12" s="574"/>
      <c r="Y12" s="574"/>
    </row>
    <row r="13" spans="1:28">
      <c r="A13" s="7"/>
      <c r="B13" s="2">
        <f t="shared" si="14"/>
        <v>2027</v>
      </c>
      <c r="C13" s="238">
        <v>7</v>
      </c>
      <c r="D13" s="371">
        <f t="shared" si="16"/>
        <v>200592.71050000004</v>
      </c>
      <c r="E13" s="356">
        <f t="shared" si="4"/>
        <v>6387647.0083146123</v>
      </c>
      <c r="F13" s="371">
        <f>((TREND($E$48:$F$48,$I$48:$J$48,B13)*TREND($G$48:$H$48,$I$48:$J$48,B13))/3600)*12*260</f>
        <v>214998.59116666592</v>
      </c>
      <c r="G13" s="356">
        <f t="shared" si="5"/>
        <v>6846385.9141960675</v>
      </c>
      <c r="H13" s="370">
        <f>((TREND($E$49:$F$49,$I$49:$J$49,B13)*TREND($G$49:$H$49,$I$49:$J$49,B13))/3600)*12*260</f>
        <v>236531.29499999934</v>
      </c>
      <c r="I13" s="356">
        <f t="shared" si="6"/>
        <v>7532070.4083089121</v>
      </c>
      <c r="J13" s="370">
        <f>((TREND($E$50:$F$50,$I$50:$J$50,B13)*TREND($G$50:$H$50,$I$50:$J$50,B13)/3600)*12*260)</f>
        <v>135857.50576666638</v>
      </c>
      <c r="K13" s="356">
        <f t="shared" si="8"/>
        <v>4326227.9476877172</v>
      </c>
      <c r="L13" s="254">
        <f t="shared" si="2"/>
        <v>787980.10243333166</v>
      </c>
      <c r="M13" s="148">
        <f t="shared" si="3"/>
        <v>25092331.278507307</v>
      </c>
      <c r="N13" s="356">
        <f t="shared" si="9"/>
        <v>15626242.826973077</v>
      </c>
      <c r="Q13" s="576"/>
      <c r="R13" s="576"/>
      <c r="S13" s="604"/>
      <c r="T13" s="605"/>
      <c r="U13" s="606"/>
      <c r="V13" s="574"/>
      <c r="W13" s="574"/>
      <c r="X13" s="574"/>
      <c r="Y13" s="574"/>
    </row>
    <row r="14" spans="1:28">
      <c r="B14" s="2">
        <f t="shared" si="14"/>
        <v>2028</v>
      </c>
      <c r="C14" s="238">
        <v>8</v>
      </c>
      <c r="D14" s="371">
        <f t="shared" si="16"/>
        <v>204520.99200000029</v>
      </c>
      <c r="E14" s="356">
        <f t="shared" si="4"/>
        <v>6642993.4438722543</v>
      </c>
      <c r="F14" s="371">
        <f t="shared" ref="F14:F26" si="17">((TREND($E$48:$F$48,$I$48:$J$48,B14)*TREND($G$48:$H$48,$I$48:$J$48,B14))/3600)*12*260</f>
        <v>216856.501333333</v>
      </c>
      <c r="G14" s="356">
        <f t="shared" si="5"/>
        <v>7043659.9320738865</v>
      </c>
      <c r="H14" s="370">
        <f t="shared" ref="H14:H26" si="18">((TREND($E$49:$F$49,$I$49:$J$49,B14)*TREND($G$49:$H$49,$I$49:$J$49,B14))/3600)*12*260</f>
        <v>245007.18666666598</v>
      </c>
      <c r="I14" s="356">
        <f t="shared" si="6"/>
        <v>7958015.0614966964</v>
      </c>
      <c r="J14" s="370">
        <f t="shared" ref="J14:J26" si="19">((TREND($E$50:$F$50,$I$50:$J$50,B14)*TREND($G$50:$H$50,$I$50:$J$50,B14)/3600)*12*260)</f>
        <v>139512.99093333349</v>
      </c>
      <c r="K14" s="356">
        <f t="shared" si="8"/>
        <v>4531485.374885832</v>
      </c>
      <c r="L14" s="254">
        <f t="shared" si="2"/>
        <v>805897.67093333276</v>
      </c>
      <c r="M14" s="148">
        <f t="shared" si="3"/>
        <v>26176153.81232867</v>
      </c>
      <c r="N14" s="356">
        <f t="shared" si="9"/>
        <v>15234759.841270126</v>
      </c>
      <c r="Q14" s="562" t="s">
        <v>180</v>
      </c>
      <c r="R14" s="562"/>
      <c r="S14" s="572" t="s">
        <v>232</v>
      </c>
      <c r="T14" s="572" t="s">
        <v>410</v>
      </c>
      <c r="U14" s="572" t="s">
        <v>195</v>
      </c>
      <c r="V14" s="572" t="s">
        <v>196</v>
      </c>
      <c r="W14" s="572" t="s">
        <v>197</v>
      </c>
      <c r="X14" s="572" t="s">
        <v>260</v>
      </c>
      <c r="Y14" s="572" t="s">
        <v>297</v>
      </c>
    </row>
    <row r="15" spans="1:28">
      <c r="B15" s="2">
        <f t="shared" si="14"/>
        <v>2029</v>
      </c>
      <c r="C15" s="238">
        <v>9</v>
      </c>
      <c r="D15" s="371">
        <f t="shared" si="16"/>
        <v>208485.1318333339</v>
      </c>
      <c r="E15" s="356">
        <f t="shared" si="4"/>
        <v>6907186.677404495</v>
      </c>
      <c r="F15" s="371">
        <f t="shared" si="17"/>
        <v>218684.96649999925</v>
      </c>
      <c r="G15" s="356">
        <f t="shared" si="5"/>
        <v>7245110.8329631751</v>
      </c>
      <c r="H15" s="370">
        <f t="shared" si="18"/>
        <v>253581.66166666592</v>
      </c>
      <c r="I15" s="356">
        <f t="shared" si="6"/>
        <v>8401250.7735961359</v>
      </c>
      <c r="J15" s="370">
        <f t="shared" si="19"/>
        <v>143207.32789999983</v>
      </c>
      <c r="K15" s="356">
        <f t="shared" si="8"/>
        <v>4744509.7819652902</v>
      </c>
      <c r="L15" s="254">
        <f t="shared" si="2"/>
        <v>823959.08789999888</v>
      </c>
      <c r="M15" s="148">
        <f t="shared" si="3"/>
        <v>27298058.065929096</v>
      </c>
      <c r="N15" s="356">
        <f t="shared" si="9"/>
        <v>14848334.889080204</v>
      </c>
      <c r="Q15" s="562"/>
      <c r="R15" s="562"/>
      <c r="S15" s="572"/>
      <c r="T15" s="572"/>
      <c r="U15" s="572"/>
      <c r="V15" s="572"/>
      <c r="W15" s="572"/>
      <c r="X15" s="572"/>
      <c r="Y15" s="572"/>
    </row>
    <row r="16" spans="1:28">
      <c r="B16" s="2">
        <f t="shared" si="14"/>
        <v>2030</v>
      </c>
      <c r="C16" s="238">
        <v>10</v>
      </c>
      <c r="D16" s="371">
        <f t="shared" si="16"/>
        <v>212485.13000000018</v>
      </c>
      <c r="E16" s="356">
        <f t="shared" si="4"/>
        <v>7180502.2022431856</v>
      </c>
      <c r="F16" s="371">
        <f t="shared" si="17"/>
        <v>220483.98666666629</v>
      </c>
      <c r="G16" s="356">
        <f t="shared" si="5"/>
        <v>7450807.2721105376</v>
      </c>
      <c r="H16" s="370">
        <f t="shared" si="18"/>
        <v>262254.71999999927</v>
      </c>
      <c r="I16" s="356">
        <f t="shared" si="6"/>
        <v>8862364.1311213784</v>
      </c>
      <c r="J16" s="370">
        <f t="shared" si="19"/>
        <v>146940.51666666666</v>
      </c>
      <c r="K16" s="356">
        <f t="shared" si="8"/>
        <v>4965555.4886299595</v>
      </c>
      <c r="L16" s="254">
        <f t="shared" si="2"/>
        <v>842164.35333333234</v>
      </c>
      <c r="M16" s="148">
        <f t="shared" si="3"/>
        <v>28459229.094105061</v>
      </c>
      <c r="N16" s="356">
        <f t="shared" si="9"/>
        <v>14467228.964688074</v>
      </c>
      <c r="Q16" s="562"/>
      <c r="R16" s="562"/>
      <c r="S16" s="572"/>
      <c r="T16" s="572"/>
      <c r="U16" s="572"/>
      <c r="V16" s="572"/>
      <c r="W16" s="572"/>
      <c r="X16" s="572"/>
      <c r="Y16" s="572"/>
      <c r="Z16" s="142"/>
      <c r="AA16" s="142"/>
    </row>
    <row r="17" spans="1:28">
      <c r="B17" s="2">
        <f t="shared" si="14"/>
        <v>2031</v>
      </c>
      <c r="C17" s="238">
        <v>11</v>
      </c>
      <c r="D17" s="371">
        <f t="shared" si="16"/>
        <v>216520.98650000044</v>
      </c>
      <c r="E17" s="356">
        <f t="shared" si="4"/>
        <v>7463223.4679340655</v>
      </c>
      <c r="F17" s="371">
        <f t="shared" si="17"/>
        <v>222253.56183333253</v>
      </c>
      <c r="G17" s="356">
        <f t="shared" si="5"/>
        <v>7660818.5900097908</v>
      </c>
      <c r="H17" s="370">
        <f t="shared" si="18"/>
        <v>271026.36166666594</v>
      </c>
      <c r="I17" s="356">
        <f t="shared" si="6"/>
        <v>9341959.5740639344</v>
      </c>
      <c r="J17" s="370">
        <f t="shared" si="19"/>
        <v>150712.55723333298</v>
      </c>
      <c r="K17" s="356">
        <f t="shared" si="8"/>
        <v>5194884.3954494195</v>
      </c>
      <c r="L17" s="254">
        <f t="shared" si="2"/>
        <v>860513.46723333199</v>
      </c>
      <c r="M17" s="148">
        <f t="shared" si="3"/>
        <v>29660886.027457211</v>
      </c>
      <c r="N17" s="356">
        <f t="shared" si="9"/>
        <v>14091673.286118142</v>
      </c>
      <c r="Q17" s="562"/>
      <c r="R17" s="562"/>
      <c r="S17" s="572"/>
      <c r="T17" s="572"/>
      <c r="U17" s="572"/>
      <c r="V17" s="572"/>
      <c r="W17" s="572"/>
      <c r="X17" s="572"/>
      <c r="Y17" s="572"/>
      <c r="AA17" s="143"/>
    </row>
    <row r="18" spans="1:28">
      <c r="B18" s="2">
        <f t="shared" si="14"/>
        <v>2032</v>
      </c>
      <c r="C18" s="238">
        <v>12</v>
      </c>
      <c r="D18" s="371">
        <f t="shared" si="16"/>
        <v>220592.70133333339</v>
      </c>
      <c r="E18" s="356">
        <f t="shared" si="4"/>
        <v>7755642.0977918413</v>
      </c>
      <c r="F18" s="371">
        <f t="shared" si="17"/>
        <v>223993.69199999966</v>
      </c>
      <c r="G18" s="356">
        <f t="shared" si="5"/>
        <v>7875214.8045457993</v>
      </c>
      <c r="H18" s="370">
        <f t="shared" si="18"/>
        <v>279896.58666666591</v>
      </c>
      <c r="I18" s="356">
        <f t="shared" si="6"/>
        <v>9840659.9015260097</v>
      </c>
      <c r="J18" s="370">
        <f t="shared" si="19"/>
        <v>154523.44959999985</v>
      </c>
      <c r="K18" s="356">
        <f t="shared" si="8"/>
        <v>5432766.1956632575</v>
      </c>
      <c r="L18" s="254">
        <f t="shared" si="2"/>
        <v>879006.42959999887</v>
      </c>
      <c r="M18" s="148">
        <f t="shared" si="3"/>
        <v>30904282.99952691</v>
      </c>
      <c r="N18" s="356">
        <f t="shared" si="9"/>
        <v>13721871.24355009</v>
      </c>
      <c r="Q18" s="562" t="s">
        <v>296</v>
      </c>
      <c r="R18" s="563"/>
      <c r="S18" s="219">
        <v>59.7</v>
      </c>
      <c r="T18" s="220">
        <v>18.5</v>
      </c>
      <c r="U18" s="221">
        <f>S18-T18</f>
        <v>41.2</v>
      </c>
      <c r="V18" s="220">
        <v>4918</v>
      </c>
      <c r="W18" s="222">
        <f>U18*V18</f>
        <v>202621.6</v>
      </c>
      <c r="X18" s="223">
        <f>W18/3600</f>
        <v>56.283777777777779</v>
      </c>
      <c r="Y18" s="224">
        <f>ROUND((X18*12),0)</f>
        <v>675</v>
      </c>
      <c r="AA18" s="143"/>
    </row>
    <row r="19" spans="1:28">
      <c r="B19" s="2">
        <f t="shared" si="14"/>
        <v>2033</v>
      </c>
      <c r="C19" s="238">
        <v>13</v>
      </c>
      <c r="D19" s="371">
        <f t="shared" si="16"/>
        <v>224700.27450000032</v>
      </c>
      <c r="E19" s="356">
        <f t="shared" si="4"/>
        <v>8058058.112165357</v>
      </c>
      <c r="F19" s="371">
        <f t="shared" si="17"/>
        <v>225704.37716666583</v>
      </c>
      <c r="G19" s="356">
        <f t="shared" si="5"/>
        <v>8094066.6023933953</v>
      </c>
      <c r="H19" s="370">
        <f t="shared" si="18"/>
        <v>288865.39499999926</v>
      </c>
      <c r="I19" s="356">
        <f t="shared" si="6"/>
        <v>10359106.790960288</v>
      </c>
      <c r="J19" s="370">
        <f t="shared" si="19"/>
        <v>158373.19376666698</v>
      </c>
      <c r="K19" s="356">
        <f t="shared" si="8"/>
        <v>5679478.5926308474</v>
      </c>
      <c r="L19" s="254">
        <f t="shared" si="2"/>
        <v>897643.24043333251</v>
      </c>
      <c r="M19" s="148">
        <f t="shared" si="3"/>
        <v>32190710.098149888</v>
      </c>
      <c r="N19" s="356">
        <f t="shared" si="9"/>
        <v>13358000.243018741</v>
      </c>
      <c r="Q19" s="562" t="s">
        <v>364</v>
      </c>
      <c r="R19" s="563"/>
      <c r="S19" s="220">
        <v>64.900000000000006</v>
      </c>
      <c r="T19" s="220">
        <v>21.1</v>
      </c>
      <c r="U19" s="221">
        <f t="shared" ref="U19:U21" si="20">S19-T19</f>
        <v>43.800000000000004</v>
      </c>
      <c r="V19" s="220">
        <v>4211</v>
      </c>
      <c r="W19" s="222">
        <f t="shared" ref="W19:W21" si="21">U19*V19</f>
        <v>184441.80000000002</v>
      </c>
      <c r="X19" s="223">
        <f t="shared" ref="X19:X21" si="22">W19/3600</f>
        <v>51.233833333333337</v>
      </c>
      <c r="Y19" s="224">
        <f t="shared" ref="Y19:Y21" si="23">ROUND((X19*12),0)</f>
        <v>615</v>
      </c>
    </row>
    <row r="20" spans="1:28">
      <c r="B20" s="2">
        <f t="shared" si="14"/>
        <v>2034</v>
      </c>
      <c r="C20" s="238">
        <v>14</v>
      </c>
      <c r="D20" s="371">
        <f t="shared" si="16"/>
        <v>228843.70600000062</v>
      </c>
      <c r="E20" s="356">
        <f t="shared" si="4"/>
        <v>8370780.1575574502</v>
      </c>
      <c r="F20" s="371">
        <f t="shared" si="17"/>
        <v>227385.61733333292</v>
      </c>
      <c r="G20" s="356">
        <f t="shared" si="5"/>
        <v>8317445.3296426227</v>
      </c>
      <c r="H20" s="370">
        <f t="shared" si="18"/>
        <v>297932.78666666592</v>
      </c>
      <c r="I20" s="356">
        <f t="shared" si="6"/>
        <v>10897961.331368743</v>
      </c>
      <c r="J20" s="370">
        <f t="shared" si="19"/>
        <v>162261.78973333331</v>
      </c>
      <c r="K20" s="356">
        <f t="shared" si="8"/>
        <v>5935307.5230722837</v>
      </c>
      <c r="L20" s="254">
        <f t="shared" si="2"/>
        <v>916423.89973333268</v>
      </c>
      <c r="M20" s="148">
        <f t="shared" si="3"/>
        <v>33521494.341641102</v>
      </c>
      <c r="N20" s="356">
        <f t="shared" si="9"/>
        <v>13000213.45035312</v>
      </c>
      <c r="Q20" s="562" t="s">
        <v>365</v>
      </c>
      <c r="R20" s="563"/>
      <c r="S20" s="220">
        <v>84.7</v>
      </c>
      <c r="T20" s="220">
        <v>3.4</v>
      </c>
      <c r="U20" s="221">
        <f t="shared" si="20"/>
        <v>81.3</v>
      </c>
      <c r="V20" s="220">
        <v>4828</v>
      </c>
      <c r="W20" s="222">
        <f t="shared" si="21"/>
        <v>392516.39999999997</v>
      </c>
      <c r="X20" s="223">
        <f t="shared" si="22"/>
        <v>109.03233333333333</v>
      </c>
      <c r="Y20" s="224">
        <f t="shared" si="23"/>
        <v>1308</v>
      </c>
    </row>
    <row r="21" spans="1:28">
      <c r="B21" s="2">
        <f t="shared" si="14"/>
        <v>2035</v>
      </c>
      <c r="C21" s="238">
        <v>15</v>
      </c>
      <c r="D21" s="371">
        <f t="shared" si="16"/>
        <v>233022.99583333352</v>
      </c>
      <c r="E21" s="356">
        <f t="shared" si="4"/>
        <v>8694125.7417487353</v>
      </c>
      <c r="F21" s="371">
        <f t="shared" si="17"/>
        <v>229037.41249999913</v>
      </c>
      <c r="G21" s="356">
        <f t="shared" si="5"/>
        <v>8545422.9816185255</v>
      </c>
      <c r="H21" s="370">
        <f t="shared" si="18"/>
        <v>307098.76166666596</v>
      </c>
      <c r="I21" s="356">
        <f t="shared" si="6"/>
        <v>11457904.57082171</v>
      </c>
      <c r="J21" s="370">
        <f t="shared" si="19"/>
        <v>166189.23750000016</v>
      </c>
      <c r="K21" s="356">
        <f t="shared" si="8"/>
        <v>6200547.3862492489</v>
      </c>
      <c r="L21" s="254">
        <f t="shared" si="2"/>
        <v>935348.40749999869</v>
      </c>
      <c r="M21" s="148">
        <f t="shared" si="3"/>
        <v>34898000.680438221</v>
      </c>
      <c r="N21" s="356">
        <f t="shared" si="9"/>
        <v>12648641.440101193</v>
      </c>
      <c r="Q21" s="562" t="s">
        <v>368</v>
      </c>
      <c r="R21" s="563"/>
      <c r="S21" s="220">
        <v>49.4</v>
      </c>
      <c r="T21" s="220">
        <v>14.4</v>
      </c>
      <c r="U21" s="221">
        <f t="shared" si="20"/>
        <v>35</v>
      </c>
      <c r="V21" s="225">
        <v>4354</v>
      </c>
      <c r="W21" s="222">
        <f t="shared" si="21"/>
        <v>152390</v>
      </c>
      <c r="X21" s="223">
        <f t="shared" si="22"/>
        <v>42.330555555555556</v>
      </c>
      <c r="Y21" s="224">
        <f t="shared" si="23"/>
        <v>508</v>
      </c>
    </row>
    <row r="22" spans="1:28">
      <c r="B22" s="2">
        <f t="shared" si="14"/>
        <v>2036</v>
      </c>
      <c r="C22" s="238">
        <v>16</v>
      </c>
      <c r="D22" s="371">
        <f t="shared" si="16"/>
        <v>237238.14400000047</v>
      </c>
      <c r="E22" s="356">
        <f t="shared" si="4"/>
        <v>9028421.475077657</v>
      </c>
      <c r="F22" s="371">
        <f t="shared" si="17"/>
        <v>230659.76266666621</v>
      </c>
      <c r="G22" s="356">
        <f t="shared" si="5"/>
        <v>8778072.1918649003</v>
      </c>
      <c r="H22" s="370">
        <f t="shared" si="18"/>
        <v>316363.31999999925</v>
      </c>
      <c r="I22" s="356">
        <f t="shared" si="6"/>
        <v>12039638.078667706</v>
      </c>
      <c r="J22" s="370">
        <f t="shared" si="19"/>
        <v>170155.5370666665</v>
      </c>
      <c r="K22" s="356">
        <f t="shared" si="8"/>
        <v>6475501.2792380517</v>
      </c>
      <c r="L22" s="254">
        <f t="shared" si="2"/>
        <v>954416.76373333239</v>
      </c>
      <c r="M22" s="148">
        <f t="shared" si="3"/>
        <v>36321633.02484832</v>
      </c>
      <c r="N22" s="356">
        <f t="shared" si="9"/>
        <v>12303393.753987622</v>
      </c>
      <c r="Q22" s="564" t="s">
        <v>275</v>
      </c>
      <c r="R22" s="565"/>
      <c r="S22" s="307">
        <f>SUM(S18:S21)</f>
        <v>258.7</v>
      </c>
      <c r="T22" s="307">
        <f t="shared" ref="T22:V22" si="24">SUM(T18:T21)</f>
        <v>57.4</v>
      </c>
      <c r="U22" s="307">
        <f t="shared" si="24"/>
        <v>201.3</v>
      </c>
      <c r="V22" s="307">
        <f t="shared" si="24"/>
        <v>18311</v>
      </c>
      <c r="W22" s="308">
        <f>SUM(W18:W21)</f>
        <v>931969.8</v>
      </c>
      <c r="X22" s="307">
        <f t="shared" ref="X22:Y22" si="25">SUM(X18:X21)</f>
        <v>258.88049999999998</v>
      </c>
      <c r="Y22" s="307">
        <f t="shared" si="25"/>
        <v>3106</v>
      </c>
    </row>
    <row r="23" spans="1:28" ht="15" customHeight="1">
      <c r="B23" s="2">
        <f t="shared" si="14"/>
        <v>2037</v>
      </c>
      <c r="C23" s="238">
        <v>17</v>
      </c>
      <c r="D23" s="371">
        <f t="shared" si="16"/>
        <v>241489.15050000008</v>
      </c>
      <c r="E23" s="356">
        <f t="shared" si="4"/>
        <v>9374003.3180326447</v>
      </c>
      <c r="F23" s="371">
        <f t="shared" si="17"/>
        <v>232252.66783333244</v>
      </c>
      <c r="G23" s="356">
        <f t="shared" si="5"/>
        <v>9015466.2202581689</v>
      </c>
      <c r="H23" s="370">
        <f t="shared" si="18"/>
        <v>325726.46166666591</v>
      </c>
      <c r="I23" s="356">
        <f t="shared" si="6"/>
        <v>12643884.522813616</v>
      </c>
      <c r="J23" s="370">
        <f t="shared" si="19"/>
        <v>174160.68843333333</v>
      </c>
      <c r="K23" s="356">
        <f t="shared" si="8"/>
        <v>6760481.2384518106</v>
      </c>
      <c r="L23" s="254">
        <f t="shared" si="2"/>
        <v>973628.9684333317</v>
      </c>
      <c r="M23" s="148">
        <f t="shared" si="3"/>
        <v>37793835.29955624</v>
      </c>
      <c r="N23" s="356">
        <f t="shared" si="9"/>
        <v>11964560.373257987</v>
      </c>
      <c r="Q23" s="189"/>
      <c r="R23" s="190"/>
      <c r="S23" s="190"/>
      <c r="T23" s="190"/>
      <c r="U23" s="190"/>
      <c r="V23" s="190"/>
      <c r="W23" s="190"/>
      <c r="X23" s="190"/>
      <c r="Y23" s="190"/>
      <c r="Z23" s="577"/>
      <c r="AA23" s="578"/>
      <c r="AB23" s="578"/>
    </row>
    <row r="24" spans="1:28">
      <c r="B24" s="2">
        <f t="shared" si="14"/>
        <v>2038</v>
      </c>
      <c r="C24" s="238">
        <v>18</v>
      </c>
      <c r="D24" s="371">
        <f t="shared" si="16"/>
        <v>245776.01533333363</v>
      </c>
      <c r="E24" s="356">
        <f t="shared" si="4"/>
        <v>9731216.8353172485</v>
      </c>
      <c r="F24" s="371">
        <f t="shared" si="17"/>
        <v>233816.1279999995</v>
      </c>
      <c r="G24" s="356">
        <f t="shared" si="5"/>
        <v>9257678.940218769</v>
      </c>
      <c r="H24" s="370">
        <f t="shared" si="18"/>
        <v>335188.18666666595</v>
      </c>
      <c r="I24" s="356">
        <f t="shared" si="6"/>
        <v>13271388.262464587</v>
      </c>
      <c r="J24" s="370">
        <f t="shared" si="19"/>
        <v>178204.69159999964</v>
      </c>
      <c r="K24" s="356">
        <f t="shared" si="8"/>
        <v>7055808.4875714844</v>
      </c>
      <c r="L24" s="254">
        <f t="shared" si="2"/>
        <v>992985.02159999881</v>
      </c>
      <c r="M24" s="148">
        <f t="shared" si="3"/>
        <v>39316092.525572084</v>
      </c>
      <c r="N24" s="356">
        <f t="shared" si="9"/>
        <v>11632213.109078074</v>
      </c>
      <c r="Q24" s="29" t="s">
        <v>207</v>
      </c>
      <c r="R24" s="190"/>
      <c r="S24" s="43"/>
      <c r="T24" s="190"/>
      <c r="U24" s="190"/>
      <c r="V24" s="190"/>
      <c r="W24" s="190"/>
      <c r="X24" s="190"/>
      <c r="Y24" s="190"/>
      <c r="Z24" s="577"/>
      <c r="AA24" s="578"/>
      <c r="AB24" s="578"/>
    </row>
    <row r="25" spans="1:28">
      <c r="B25" s="2">
        <f t="shared" si="14"/>
        <v>2039</v>
      </c>
      <c r="C25" s="238">
        <v>19</v>
      </c>
      <c r="D25" s="371">
        <f t="shared" si="16"/>
        <v>250098.73850000062</v>
      </c>
      <c r="E25" s="356">
        <f t="shared" si="4"/>
        <v>10100417.456551485</v>
      </c>
      <c r="F25" s="371">
        <f t="shared" si="17"/>
        <v>235350.14316666577</v>
      </c>
      <c r="G25" s="356">
        <f t="shared" si="5"/>
        <v>9504784.8249841388</v>
      </c>
      <c r="H25" s="370">
        <f t="shared" si="18"/>
        <v>344748.49499999918</v>
      </c>
      <c r="I25" s="356">
        <f t="shared" si="6"/>
        <v>13922915.956722571</v>
      </c>
      <c r="J25" s="370">
        <f t="shared" si="19"/>
        <v>182287.54656666683</v>
      </c>
      <c r="K25" s="356">
        <f t="shared" si="8"/>
        <v>7361813.6920506647</v>
      </c>
      <c r="L25" s="254">
        <f t="shared" si="2"/>
        <v>1012484.9232333323</v>
      </c>
      <c r="M25" s="148">
        <f t="shared" si="3"/>
        <v>40889931.930308864</v>
      </c>
      <c r="N25" s="356">
        <f t="shared" si="9"/>
        <v>11306406.914976401</v>
      </c>
      <c r="Q25" s="579" t="s">
        <v>180</v>
      </c>
      <c r="R25" s="580"/>
      <c r="S25" s="585" t="s">
        <v>262</v>
      </c>
      <c r="T25" s="572" t="s">
        <v>263</v>
      </c>
      <c r="U25" s="572" t="s">
        <v>264</v>
      </c>
      <c r="V25" s="585" t="s">
        <v>261</v>
      </c>
      <c r="W25" s="572" t="s">
        <v>265</v>
      </c>
      <c r="X25" s="572" t="s">
        <v>266</v>
      </c>
      <c r="Y25" s="211"/>
      <c r="Z25" s="577"/>
      <c r="AA25" s="578"/>
      <c r="AB25" s="578"/>
    </row>
    <row r="26" spans="1:28" ht="15.75" thickBot="1">
      <c r="A26" s="113"/>
      <c r="B26" s="130">
        <f t="shared" si="14"/>
        <v>2040</v>
      </c>
      <c r="C26" s="3">
        <v>20</v>
      </c>
      <c r="D26" s="371">
        <f t="shared" si="16"/>
        <v>254457.32000000018</v>
      </c>
      <c r="E26" s="356">
        <f t="shared" si="4"/>
        <v>10481970.743778097</v>
      </c>
      <c r="F26" s="371">
        <f t="shared" si="17"/>
        <v>236854.71333333285</v>
      </c>
      <c r="G26" s="356">
        <f t="shared" si="5"/>
        <v>9756858.93290844</v>
      </c>
      <c r="H26" s="370">
        <f t="shared" si="18"/>
        <v>354407.3866666659</v>
      </c>
      <c r="I26" s="356">
        <f t="shared" si="6"/>
        <v>14599257.189452602</v>
      </c>
      <c r="J26" s="370">
        <f t="shared" si="19"/>
        <v>186409.25333333365</v>
      </c>
      <c r="K26" s="356">
        <f t="shared" si="8"/>
        <v>7678837.2203618335</v>
      </c>
      <c r="L26" s="254">
        <f t="shared" si="2"/>
        <v>1032128.6733333326</v>
      </c>
      <c r="M26" s="148">
        <f t="shared" si="3"/>
        <v>42516924.086500973</v>
      </c>
      <c r="N26" s="356">
        <f t="shared" si="9"/>
        <v>10987181.125146536</v>
      </c>
      <c r="O26" s="113"/>
      <c r="Q26" s="581"/>
      <c r="R26" s="582"/>
      <c r="S26" s="585"/>
      <c r="T26" s="572"/>
      <c r="U26" s="572"/>
      <c r="V26" s="585"/>
      <c r="W26" s="572"/>
      <c r="X26" s="572"/>
      <c r="Y26" s="211"/>
      <c r="Z26" s="217"/>
      <c r="AA26" s="218"/>
      <c r="AB26" s="232"/>
    </row>
    <row r="27" spans="1:28" ht="15.75" thickBot="1">
      <c r="B27" s="597" t="s">
        <v>228</v>
      </c>
      <c r="C27" s="597"/>
      <c r="D27" s="597"/>
      <c r="E27" s="240">
        <f>SUM(E6:E26)</f>
        <v>102010219.7038465</v>
      </c>
      <c r="F27" s="241"/>
      <c r="G27" s="240">
        <f t="shared" ref="G27:M27" si="26">SUM(G6:G26)</f>
        <v>72654001.248899251</v>
      </c>
      <c r="H27" s="241"/>
      <c r="I27" s="240">
        <f t="shared" si="26"/>
        <v>108993264.76945162</v>
      </c>
      <c r="J27" s="241"/>
      <c r="K27" s="240">
        <f t="shared" si="26"/>
        <v>57204481.836926498</v>
      </c>
      <c r="L27" s="255">
        <f t="shared" si="26"/>
        <v>8467416.9588666596</v>
      </c>
      <c r="M27" s="240">
        <f t="shared" si="26"/>
        <v>340861967.55912387</v>
      </c>
      <c r="N27" s="305">
        <f>SUM(N6:N26)</f>
        <v>81091743.020477444</v>
      </c>
      <c r="Q27" s="581"/>
      <c r="R27" s="582"/>
      <c r="S27" s="585"/>
      <c r="T27" s="572"/>
      <c r="U27" s="572"/>
      <c r="V27" s="585"/>
      <c r="W27" s="572"/>
      <c r="X27" s="572"/>
      <c r="Y27" s="211"/>
      <c r="Z27" s="230"/>
      <c r="AA27" s="218"/>
      <c r="AB27" s="232"/>
    </row>
    <row r="28" spans="1:28">
      <c r="B28" s="573"/>
      <c r="C28" s="573"/>
      <c r="D28" s="573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10"/>
      <c r="Q28" s="583"/>
      <c r="R28" s="584"/>
      <c r="S28" s="585"/>
      <c r="T28" s="572"/>
      <c r="U28" s="572"/>
      <c r="V28" s="585"/>
      <c r="W28" s="572"/>
      <c r="X28" s="572"/>
      <c r="Y28" s="211"/>
      <c r="Z28" s="230"/>
      <c r="AA28" s="218"/>
      <c r="AB28" s="232"/>
    </row>
    <row r="29" spans="1:28" ht="15" customHeight="1">
      <c r="B29" s="339"/>
      <c r="C29" s="342"/>
      <c r="D29" s="409"/>
      <c r="E29" s="263"/>
      <c r="F29" s="265"/>
      <c r="G29" s="265"/>
      <c r="H29" s="265"/>
      <c r="I29" s="265"/>
      <c r="J29" s="265"/>
      <c r="K29" s="265"/>
      <c r="L29" s="264"/>
      <c r="M29" s="263"/>
      <c r="N29" s="231"/>
      <c r="O29" s="210"/>
      <c r="Q29" s="562" t="s">
        <v>296</v>
      </c>
      <c r="R29" s="563"/>
      <c r="S29" s="224">
        <f>Y6</f>
        <v>538</v>
      </c>
      <c r="T29" s="224">
        <v>260</v>
      </c>
      <c r="U29" s="64">
        <f>S29*T29</f>
        <v>139880</v>
      </c>
      <c r="V29" s="224">
        <f>Y18</f>
        <v>675</v>
      </c>
      <c r="W29" s="224">
        <f>S49</f>
        <v>260</v>
      </c>
      <c r="X29" s="64">
        <f>V29*W29</f>
        <v>175500</v>
      </c>
      <c r="Y29" s="4"/>
      <c r="Z29" s="230"/>
      <c r="AA29" s="218"/>
      <c r="AB29" s="232"/>
    </row>
    <row r="30" spans="1:28" ht="15" customHeight="1">
      <c r="A30" s="210"/>
      <c r="B30" s="407" t="s">
        <v>293</v>
      </c>
      <c r="C30" s="343" t="s">
        <v>380</v>
      </c>
      <c r="D30" s="345"/>
      <c r="E30" s="345"/>
      <c r="F30" s="344"/>
      <c r="G30" s="344"/>
      <c r="H30" s="344"/>
      <c r="I30" s="346"/>
      <c r="J30" s="346"/>
      <c r="K30" s="265"/>
      <c r="L30" s="264"/>
      <c r="M30" s="263"/>
      <c r="N30" s="231"/>
      <c r="O30" s="210"/>
      <c r="P30" s="138"/>
      <c r="Q30" s="562" t="s">
        <v>364</v>
      </c>
      <c r="R30" s="563"/>
      <c r="S30" s="224">
        <f>Y7</f>
        <v>735</v>
      </c>
      <c r="T30" s="224">
        <v>260</v>
      </c>
      <c r="U30" s="64">
        <f t="shared" ref="U30:U32" si="27">S30*T30</f>
        <v>191100</v>
      </c>
      <c r="V30" s="224">
        <f>Y19</f>
        <v>615</v>
      </c>
      <c r="W30" s="224">
        <v>260</v>
      </c>
      <c r="X30" s="64">
        <f t="shared" ref="X30:X32" si="28">V30*W30</f>
        <v>159900</v>
      </c>
      <c r="Y30" s="4"/>
      <c r="Z30" s="230"/>
    </row>
    <row r="31" spans="1:28" ht="14.45" customHeight="1">
      <c r="A31" s="210"/>
      <c r="B31" s="407" t="s">
        <v>294</v>
      </c>
      <c r="C31" s="539" t="s">
        <v>398</v>
      </c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39"/>
      <c r="P31" s="138"/>
      <c r="Q31" s="562" t="s">
        <v>365</v>
      </c>
      <c r="R31" s="563"/>
      <c r="S31" s="224">
        <f>Y8</f>
        <v>671</v>
      </c>
      <c r="T31" s="224">
        <v>260</v>
      </c>
      <c r="U31" s="64">
        <f t="shared" si="27"/>
        <v>174460</v>
      </c>
      <c r="V31" s="224">
        <f>Y20</f>
        <v>1308</v>
      </c>
      <c r="W31" s="224">
        <v>260</v>
      </c>
      <c r="X31" s="64">
        <f t="shared" si="28"/>
        <v>340080</v>
      </c>
      <c r="Y31" s="4"/>
    </row>
    <row r="32" spans="1:28" ht="17.25" customHeight="1">
      <c r="A32" s="210"/>
      <c r="B32" s="17"/>
      <c r="C32" s="408"/>
      <c r="D32" s="408"/>
      <c r="E32" s="408"/>
      <c r="F32" s="408"/>
      <c r="G32" s="408"/>
      <c r="H32" s="408"/>
      <c r="I32" s="408"/>
      <c r="J32" s="408"/>
      <c r="P32" s="138"/>
      <c r="Q32" s="562" t="s">
        <v>368</v>
      </c>
      <c r="R32" s="563"/>
      <c r="S32" s="224">
        <f>Y9</f>
        <v>339</v>
      </c>
      <c r="T32" s="224">
        <v>260</v>
      </c>
      <c r="U32" s="64">
        <f t="shared" si="27"/>
        <v>88140</v>
      </c>
      <c r="V32" s="224">
        <f>Y21</f>
        <v>508</v>
      </c>
      <c r="W32" s="224">
        <v>260</v>
      </c>
      <c r="X32" s="64">
        <f t="shared" si="28"/>
        <v>132080</v>
      </c>
      <c r="Y32" s="4"/>
    </row>
    <row r="33" spans="1:28" ht="15" customHeight="1">
      <c r="A33" s="7" t="s">
        <v>24</v>
      </c>
      <c r="B33" s="535" t="s">
        <v>250</v>
      </c>
      <c r="C33" s="535"/>
      <c r="D33" s="535"/>
      <c r="E33" s="535"/>
      <c r="F33" s="535"/>
      <c r="G33" s="535"/>
      <c r="H33" s="535"/>
      <c r="I33" s="535"/>
      <c r="J33" s="535"/>
      <c r="K33" s="535"/>
      <c r="L33" s="535"/>
      <c r="M33" s="535"/>
      <c r="N33" s="535"/>
      <c r="O33" s="535"/>
      <c r="P33" s="138"/>
      <c r="Q33" s="564" t="s">
        <v>275</v>
      </c>
      <c r="R33" s="565"/>
      <c r="S33" s="309">
        <f>SUM(S29:S32)</f>
        <v>2283</v>
      </c>
      <c r="T33" s="309">
        <f t="shared" ref="T33:X33" si="29">SUM(T29:T32)</f>
        <v>1040</v>
      </c>
      <c r="U33" s="310">
        <f t="shared" si="29"/>
        <v>593580</v>
      </c>
      <c r="V33" s="310">
        <f t="shared" si="29"/>
        <v>3106</v>
      </c>
      <c r="W33" s="310">
        <f t="shared" si="29"/>
        <v>1040</v>
      </c>
      <c r="X33" s="310">
        <f t="shared" si="29"/>
        <v>807560</v>
      </c>
      <c r="Y33" s="4"/>
    </row>
    <row r="34" spans="1:28" ht="15" customHeight="1">
      <c r="B34" s="535"/>
      <c r="C34" s="535"/>
      <c r="D34" s="535"/>
      <c r="E34" s="535"/>
      <c r="F34" s="535"/>
      <c r="G34" s="535"/>
      <c r="H34" s="535"/>
      <c r="I34" s="535"/>
      <c r="J34" s="535"/>
      <c r="K34" s="535"/>
      <c r="L34" s="535"/>
      <c r="M34" s="535"/>
      <c r="N34" s="535"/>
      <c r="O34" s="535"/>
      <c r="P34" s="138"/>
      <c r="Q34" s="207"/>
      <c r="R34" s="208"/>
      <c r="S34" s="211"/>
      <c r="T34" s="190"/>
      <c r="U34" s="190"/>
      <c r="V34" s="190"/>
      <c r="W34" s="190"/>
      <c r="X34" s="190"/>
      <c r="Y34" s="190"/>
    </row>
    <row r="35" spans="1:28" ht="16.5" customHeight="1">
      <c r="A35" s="77" t="s">
        <v>23</v>
      </c>
      <c r="B35" s="535" t="s">
        <v>337</v>
      </c>
      <c r="C35" s="535"/>
      <c r="D35" s="535"/>
      <c r="E35" s="535"/>
      <c r="F35" s="535"/>
      <c r="G35" s="535"/>
      <c r="H35" s="535"/>
      <c r="I35" s="535"/>
      <c r="J35" s="535"/>
      <c r="K35" s="535"/>
      <c r="L35" s="535"/>
      <c r="M35" s="535"/>
      <c r="N35" s="535"/>
      <c r="O35" s="535"/>
      <c r="P35" s="26"/>
      <c r="Q35" s="40" t="s">
        <v>201</v>
      </c>
      <c r="R35" s="190"/>
      <c r="S35" s="190"/>
      <c r="T35" s="190"/>
      <c r="U35" s="190"/>
      <c r="V35" s="190"/>
      <c r="W35" s="190"/>
      <c r="X35" s="190"/>
      <c r="Y35" s="190"/>
    </row>
    <row r="36" spans="1:28" ht="15" customHeight="1">
      <c r="B36" s="535"/>
      <c r="C36" s="535"/>
      <c r="D36" s="535"/>
      <c r="E36" s="535"/>
      <c r="F36" s="535"/>
      <c r="G36" s="535"/>
      <c r="H36" s="535"/>
      <c r="I36" s="535"/>
      <c r="J36" s="535"/>
      <c r="K36" s="535"/>
      <c r="L36" s="535"/>
      <c r="M36" s="535"/>
      <c r="N36" s="535"/>
      <c r="O36" s="535"/>
      <c r="P36" s="138"/>
      <c r="Q36" s="588" t="s">
        <v>180</v>
      </c>
      <c r="R36" s="588"/>
      <c r="S36" s="572" t="s">
        <v>347</v>
      </c>
      <c r="T36" s="572" t="s">
        <v>346</v>
      </c>
      <c r="U36" s="572" t="s">
        <v>344</v>
      </c>
      <c r="V36" s="572" t="s">
        <v>345</v>
      </c>
      <c r="W36" s="4"/>
      <c r="X36" s="4"/>
      <c r="AB36" s="142"/>
    </row>
    <row r="37" spans="1:28" ht="15" customHeight="1">
      <c r="A37" s="7"/>
      <c r="B37" s="535"/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5"/>
      <c r="P37" s="138"/>
      <c r="Q37" s="588"/>
      <c r="R37" s="588"/>
      <c r="S37" s="572"/>
      <c r="T37" s="572"/>
      <c r="U37" s="572"/>
      <c r="V37" s="572"/>
      <c r="W37" s="4"/>
      <c r="X37" s="4"/>
      <c r="Y37" s="210"/>
      <c r="AB37" s="142"/>
    </row>
    <row r="38" spans="1:28" s="142" customFormat="1" ht="18" customHeight="1">
      <c r="A38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138"/>
      <c r="Q38" s="588"/>
      <c r="R38" s="588"/>
      <c r="S38" s="572"/>
      <c r="T38" s="572"/>
      <c r="U38" s="572"/>
      <c r="V38" s="572"/>
      <c r="W38" s="4"/>
      <c r="X38" s="4"/>
      <c r="Y38"/>
      <c r="Z38"/>
      <c r="AA38"/>
    </row>
    <row r="39" spans="1:28" s="142" customFormat="1" ht="15" customHeight="1">
      <c r="A39" s="332"/>
      <c r="B39"/>
      <c r="C39" s="210"/>
      <c r="D39" s="61"/>
      <c r="E39"/>
      <c r="F39"/>
      <c r="G39"/>
      <c r="H39" s="210"/>
      <c r="I39" s="210"/>
      <c r="J39" s="210"/>
      <c r="K39" s="210"/>
      <c r="L39" s="210"/>
      <c r="M39" s="210"/>
      <c r="N39"/>
      <c r="O39" s="26"/>
      <c r="P39" s="138"/>
      <c r="Q39" s="562" t="s">
        <v>296</v>
      </c>
      <c r="R39" s="563"/>
      <c r="S39" s="355">
        <f>U29</f>
        <v>139880</v>
      </c>
      <c r="T39" s="64">
        <f>X29</f>
        <v>175500</v>
      </c>
      <c r="U39" s="224">
        <v>2020</v>
      </c>
      <c r="V39" s="224">
        <v>2040</v>
      </c>
      <c r="W39" s="4"/>
      <c r="X39" s="4"/>
      <c r="Y39"/>
      <c r="Z39"/>
      <c r="AA39"/>
      <c r="AB39"/>
    </row>
    <row r="40" spans="1:28">
      <c r="A40" s="142"/>
      <c r="B40" s="570" t="s">
        <v>381</v>
      </c>
      <c r="C40" s="570"/>
      <c r="D40" s="570"/>
      <c r="E40" s="570"/>
      <c r="F40" s="570"/>
      <c r="G40" s="570"/>
      <c r="H40" s="570"/>
      <c r="I40" s="570"/>
      <c r="J40" s="570"/>
      <c r="K40" s="26"/>
      <c r="L40" s="26"/>
      <c r="M40" s="26"/>
      <c r="N40" s="26"/>
      <c r="O40" s="26"/>
      <c r="Q40" s="562" t="s">
        <v>364</v>
      </c>
      <c r="R40" s="563"/>
      <c r="S40" s="355">
        <f t="shared" ref="S40:S42" si="30">U30</f>
        <v>191100</v>
      </c>
      <c r="T40" s="64">
        <f t="shared" ref="T40:T42" si="31">X30</f>
        <v>159900</v>
      </c>
      <c r="U40" s="224">
        <v>2020</v>
      </c>
      <c r="V40" s="224">
        <v>2040</v>
      </c>
      <c r="W40" s="4"/>
      <c r="X40" s="4"/>
    </row>
    <row r="41" spans="1:28">
      <c r="B41" s="570"/>
      <c r="C41" s="570"/>
      <c r="D41" s="570"/>
      <c r="E41" s="570"/>
      <c r="F41" s="570"/>
      <c r="G41" s="570"/>
      <c r="H41" s="570"/>
      <c r="I41" s="570"/>
      <c r="J41" s="570"/>
      <c r="K41" s="26"/>
      <c r="L41" s="26"/>
      <c r="M41" s="26"/>
      <c r="N41" s="26"/>
      <c r="P41" s="138"/>
      <c r="Q41" s="562" t="s">
        <v>365</v>
      </c>
      <c r="R41" s="563"/>
      <c r="S41" s="355">
        <f t="shared" si="30"/>
        <v>174460</v>
      </c>
      <c r="T41" s="64">
        <f t="shared" si="31"/>
        <v>340080</v>
      </c>
      <c r="U41" s="224">
        <v>2020</v>
      </c>
      <c r="V41" s="224">
        <v>2040</v>
      </c>
      <c r="W41" s="4"/>
      <c r="X41" s="4"/>
      <c r="Y41" s="210"/>
    </row>
    <row r="42" spans="1:28" ht="14.45" customHeight="1">
      <c r="A42" s="7"/>
      <c r="B42" s="566"/>
      <c r="C42" s="566"/>
      <c r="D42" s="567"/>
      <c r="E42" s="571" t="s">
        <v>388</v>
      </c>
      <c r="F42" s="571" t="s">
        <v>387</v>
      </c>
      <c r="G42" s="571" t="s">
        <v>385</v>
      </c>
      <c r="H42" s="571" t="s">
        <v>386</v>
      </c>
      <c r="I42" s="571" t="s">
        <v>306</v>
      </c>
      <c r="J42" s="571" t="s">
        <v>307</v>
      </c>
      <c r="K42" s="26"/>
      <c r="L42" s="26"/>
      <c r="M42" s="26"/>
      <c r="N42" s="26"/>
      <c r="O42" s="26"/>
      <c r="P42" s="138"/>
      <c r="Q42" s="562" t="s">
        <v>368</v>
      </c>
      <c r="R42" s="563"/>
      <c r="S42" s="355">
        <f t="shared" si="30"/>
        <v>88140</v>
      </c>
      <c r="T42" s="64">
        <f t="shared" si="31"/>
        <v>132080</v>
      </c>
      <c r="U42" s="224">
        <v>2020</v>
      </c>
      <c r="V42" s="224">
        <v>2040</v>
      </c>
      <c r="W42" s="4"/>
      <c r="X42" s="4"/>
      <c r="AA42" s="142"/>
    </row>
    <row r="43" spans="1:28">
      <c r="B43" s="566"/>
      <c r="C43" s="566"/>
      <c r="D43" s="567"/>
      <c r="E43" s="571"/>
      <c r="F43" s="571"/>
      <c r="G43" s="571"/>
      <c r="H43" s="571"/>
      <c r="I43" s="571"/>
      <c r="J43" s="571"/>
      <c r="K43" s="354"/>
      <c r="L43" s="26"/>
      <c r="M43" s="26"/>
      <c r="N43" s="26"/>
      <c r="O43" s="26"/>
      <c r="P43" s="138"/>
      <c r="Q43" s="4"/>
      <c r="R43" s="4"/>
      <c r="S43" s="210"/>
      <c r="U43" s="142"/>
    </row>
    <row r="44" spans="1:28" ht="15" customHeight="1">
      <c r="B44" s="566"/>
      <c r="C44" s="566"/>
      <c r="D44" s="567"/>
      <c r="E44" s="571"/>
      <c r="F44" s="571"/>
      <c r="G44" s="571"/>
      <c r="H44" s="571"/>
      <c r="I44" s="571"/>
      <c r="J44" s="571"/>
      <c r="O44" s="26"/>
      <c r="P44" s="138"/>
      <c r="Q44" s="242"/>
      <c r="R44" s="242"/>
      <c r="S44" s="243"/>
      <c r="T44" s="12"/>
      <c r="U44" s="12"/>
      <c r="V44" s="236"/>
      <c r="AA44" s="142"/>
    </row>
    <row r="45" spans="1:28" ht="15" customHeight="1">
      <c r="B45" s="566"/>
      <c r="C45" s="566"/>
      <c r="D45" s="567"/>
      <c r="E45" s="571"/>
      <c r="F45" s="571"/>
      <c r="G45" s="571"/>
      <c r="H45" s="571"/>
      <c r="I45" s="571"/>
      <c r="J45" s="571"/>
      <c r="K45" s="193"/>
      <c r="L45" s="193"/>
      <c r="M45" s="193"/>
      <c r="N45" s="26"/>
      <c r="O45" s="26"/>
      <c r="Q45" s="40" t="s">
        <v>204</v>
      </c>
      <c r="R45" s="242"/>
      <c r="S45" s="243"/>
      <c r="T45" s="12"/>
      <c r="U45" s="81" t="s">
        <v>208</v>
      </c>
      <c r="V45" s="60"/>
      <c r="W45" s="60"/>
      <c r="X45" s="60"/>
    </row>
    <row r="46" spans="1:28">
      <c r="B46" s="568"/>
      <c r="C46" s="568"/>
      <c r="D46" s="569"/>
      <c r="E46" s="571"/>
      <c r="F46" s="571"/>
      <c r="G46" s="571"/>
      <c r="H46" s="571"/>
      <c r="I46" s="571"/>
      <c r="J46" s="571"/>
      <c r="K46" s="193"/>
      <c r="L46" s="193"/>
      <c r="M46" s="193"/>
      <c r="N46" s="26"/>
      <c r="P46" s="26"/>
      <c r="Q46" s="588" t="s">
        <v>267</v>
      </c>
      <c r="R46" s="588" t="s">
        <v>205</v>
      </c>
      <c r="S46" s="610" t="s">
        <v>206</v>
      </c>
      <c r="T46" s="12"/>
      <c r="U46" s="572" t="s">
        <v>300</v>
      </c>
      <c r="V46" s="572" t="s">
        <v>209</v>
      </c>
      <c r="W46" s="572" t="s">
        <v>301</v>
      </c>
      <c r="X46" s="248"/>
    </row>
    <row r="47" spans="1:28">
      <c r="A47" s="77"/>
      <c r="B47" s="562" t="s">
        <v>296</v>
      </c>
      <c r="C47" s="562"/>
      <c r="D47" s="563"/>
      <c r="E47" s="403">
        <v>47.2</v>
      </c>
      <c r="F47" s="403">
        <v>59.7</v>
      </c>
      <c r="G47" s="405">
        <v>4256</v>
      </c>
      <c r="H47" s="405">
        <v>4918</v>
      </c>
      <c r="I47" s="403">
        <v>2020</v>
      </c>
      <c r="J47" s="403">
        <v>2040</v>
      </c>
      <c r="K47" s="193"/>
      <c r="L47" s="193"/>
      <c r="M47" s="193"/>
      <c r="N47" s="26"/>
      <c r="O47" s="26"/>
      <c r="P47" s="26"/>
      <c r="Q47" s="588"/>
      <c r="R47" s="588"/>
      <c r="S47" s="610"/>
      <c r="T47" s="12"/>
      <c r="U47" s="572"/>
      <c r="V47" s="572"/>
      <c r="W47" s="572"/>
      <c r="X47" s="211"/>
    </row>
    <row r="48" spans="1:28" ht="18.75" customHeight="1">
      <c r="B48" s="562" t="s">
        <v>364</v>
      </c>
      <c r="C48" s="562"/>
      <c r="D48" s="563"/>
      <c r="E48" s="403">
        <v>49.8</v>
      </c>
      <c r="F48" s="403">
        <v>64.900000000000006</v>
      </c>
      <c r="G48" s="405">
        <v>4661</v>
      </c>
      <c r="H48" s="405">
        <v>4211</v>
      </c>
      <c r="I48" s="403">
        <v>2020</v>
      </c>
      <c r="J48" s="403">
        <v>2040</v>
      </c>
      <c r="K48" s="26"/>
      <c r="L48" s="26"/>
      <c r="M48" s="26"/>
      <c r="N48" s="26"/>
      <c r="O48" s="26"/>
      <c r="P48" s="26"/>
      <c r="Q48" s="588"/>
      <c r="R48" s="588"/>
      <c r="S48" s="610"/>
      <c r="T48" s="12"/>
      <c r="U48" s="572"/>
      <c r="V48" s="572"/>
      <c r="W48" s="572"/>
      <c r="X48" s="211"/>
      <c r="Y48" s="210"/>
    </row>
    <row r="49" spans="2:25" ht="15" customHeight="1">
      <c r="B49" s="562" t="s">
        <v>365</v>
      </c>
      <c r="C49" s="562"/>
      <c r="D49" s="563"/>
      <c r="E49" s="403">
        <v>49.7</v>
      </c>
      <c r="F49" s="403">
        <v>84.7</v>
      </c>
      <c r="G49" s="405">
        <v>4178</v>
      </c>
      <c r="H49" s="405">
        <v>4828</v>
      </c>
      <c r="I49" s="403">
        <v>2020</v>
      </c>
      <c r="J49" s="403">
        <v>2040</v>
      </c>
      <c r="K49" s="26"/>
      <c r="L49" s="26"/>
      <c r="M49" s="26"/>
      <c r="N49" s="26"/>
      <c r="O49" s="26"/>
      <c r="P49" s="26"/>
      <c r="Q49" s="246">
        <v>52</v>
      </c>
      <c r="R49" s="246">
        <v>5</v>
      </c>
      <c r="S49" s="235">
        <f>Q49*R49</f>
        <v>260</v>
      </c>
      <c r="T49" s="12"/>
      <c r="U49" s="249">
        <v>16.600000000000001</v>
      </c>
      <c r="V49" s="223">
        <v>1.67</v>
      </c>
      <c r="W49" s="249">
        <f>U49*V49</f>
        <v>27.722000000000001</v>
      </c>
      <c r="X49" s="211"/>
      <c r="Y49" s="210"/>
    </row>
    <row r="50" spans="2:25">
      <c r="B50" s="562" t="s">
        <v>368</v>
      </c>
      <c r="C50" s="562"/>
      <c r="D50" s="563"/>
      <c r="E50" s="404">
        <v>34.1</v>
      </c>
      <c r="F50" s="404">
        <v>49.4</v>
      </c>
      <c r="G50" s="405">
        <v>3768</v>
      </c>
      <c r="H50" s="405">
        <v>4354</v>
      </c>
      <c r="I50" s="403">
        <v>2020</v>
      </c>
      <c r="J50" s="403">
        <v>2040</v>
      </c>
      <c r="O50" s="26"/>
      <c r="P50" s="26"/>
      <c r="Q50" s="244"/>
      <c r="R50" s="245"/>
      <c r="S50" s="243"/>
      <c r="T50" s="12"/>
      <c r="U50" s="12"/>
      <c r="V50" s="236"/>
      <c r="W50" s="210"/>
      <c r="X50" s="210"/>
      <c r="Y50" s="210"/>
    </row>
    <row r="51" spans="2:25">
      <c r="D51" s="210"/>
      <c r="E51" s="61"/>
      <c r="H51"/>
      <c r="O51" s="26"/>
      <c r="Q51" s="81" t="s">
        <v>224</v>
      </c>
      <c r="R51" s="60"/>
    </row>
    <row r="52" spans="2:25" ht="14.45" customHeight="1">
      <c r="D52" s="210"/>
      <c r="E52" s="61"/>
      <c r="H52"/>
      <c r="Q52" s="579" t="s">
        <v>180</v>
      </c>
      <c r="R52" s="580"/>
      <c r="S52" s="611" t="s">
        <v>202</v>
      </c>
      <c r="T52" s="609"/>
      <c r="U52" s="358"/>
      <c r="V52" s="210"/>
    </row>
    <row r="53" spans="2:25">
      <c r="D53" s="210"/>
      <c r="E53" s="61"/>
      <c r="H53"/>
      <c r="Q53" s="581"/>
      <c r="R53" s="582"/>
      <c r="S53" s="612"/>
      <c r="T53" s="609"/>
      <c r="U53" s="358"/>
      <c r="V53" s="210"/>
      <c r="W53" s="142"/>
      <c r="X53" s="142"/>
    </row>
    <row r="54" spans="2:25">
      <c r="D54" s="210"/>
      <c r="E54" s="61"/>
      <c r="H54"/>
      <c r="Q54" s="583"/>
      <c r="R54" s="584"/>
      <c r="S54" s="613"/>
      <c r="T54" s="609"/>
      <c r="U54" s="358"/>
      <c r="V54" s="358"/>
      <c r="X54" s="142"/>
    </row>
    <row r="55" spans="2:25">
      <c r="D55" s="210"/>
      <c r="E55" s="61"/>
      <c r="H55"/>
      <c r="Q55" s="562" t="s">
        <v>296</v>
      </c>
      <c r="R55" s="563"/>
      <c r="S55" s="235">
        <v>2025</v>
      </c>
      <c r="T55" s="12"/>
      <c r="U55" s="11"/>
      <c r="V55" s="358"/>
    </row>
    <row r="56" spans="2:25">
      <c r="D56" s="210"/>
      <c r="E56" s="61"/>
      <c r="H56"/>
      <c r="Q56" s="562" t="s">
        <v>364</v>
      </c>
      <c r="R56" s="563"/>
      <c r="S56" s="235">
        <v>2027</v>
      </c>
      <c r="T56" s="12"/>
      <c r="U56" s="11"/>
      <c r="V56" s="358"/>
    </row>
    <row r="57" spans="2:25">
      <c r="D57" s="210"/>
      <c r="E57" s="61"/>
      <c r="H57"/>
      <c r="Q57" s="562" t="s">
        <v>365</v>
      </c>
      <c r="R57" s="563"/>
      <c r="S57" s="350">
        <v>2027</v>
      </c>
      <c r="T57" s="12"/>
      <c r="U57" s="11"/>
      <c r="V57" s="236"/>
    </row>
    <row r="58" spans="2:25">
      <c r="D58" s="210"/>
      <c r="E58" s="61"/>
      <c r="H58"/>
      <c r="N58" s="210"/>
      <c r="Q58" s="562" t="s">
        <v>368</v>
      </c>
      <c r="R58" s="563"/>
      <c r="S58" s="350">
        <v>2027</v>
      </c>
      <c r="T58" s="12"/>
      <c r="U58" s="11"/>
      <c r="V58" s="236"/>
    </row>
    <row r="59" spans="2:25">
      <c r="Q59"/>
      <c r="S59" s="236"/>
    </row>
    <row r="60" spans="2:25" ht="15.75">
      <c r="P60"/>
      <c r="Q60" s="142"/>
      <c r="R60" s="49"/>
      <c r="Y60" s="380" t="s">
        <v>271</v>
      </c>
    </row>
    <row r="61" spans="2:25">
      <c r="V61" s="142"/>
      <c r="W61" s="142"/>
    </row>
    <row r="62" spans="2:25">
      <c r="V62" s="142"/>
      <c r="W62" s="142"/>
    </row>
  </sheetData>
  <mergeCells count="91">
    <mergeCell ref="Q58:R58"/>
    <mergeCell ref="V46:V48"/>
    <mergeCell ref="W46:W48"/>
    <mergeCell ref="U46:U48"/>
    <mergeCell ref="C4:C5"/>
    <mergeCell ref="J4:J5"/>
    <mergeCell ref="I4:I5"/>
    <mergeCell ref="Q56:R56"/>
    <mergeCell ref="Q57:R57"/>
    <mergeCell ref="L4:L5"/>
    <mergeCell ref="T52:T54"/>
    <mergeCell ref="Q55:R55"/>
    <mergeCell ref="R46:R48"/>
    <mergeCell ref="S46:S48"/>
    <mergeCell ref="Q52:R54"/>
    <mergeCell ref="S52:S54"/>
    <mergeCell ref="M4:M5"/>
    <mergeCell ref="Q46:Q48"/>
    <mergeCell ref="B35:O37"/>
    <mergeCell ref="F4:F5"/>
    <mergeCell ref="G4:G5"/>
    <mergeCell ref="Q36:R38"/>
    <mergeCell ref="Q39:R39"/>
    <mergeCell ref="B4:B5"/>
    <mergeCell ref="D4:D5"/>
    <mergeCell ref="Q29:R29"/>
    <mergeCell ref="E4:E5"/>
    <mergeCell ref="N4:N5"/>
    <mergeCell ref="B33:O34"/>
    <mergeCell ref="H4:H5"/>
    <mergeCell ref="K4:K5"/>
    <mergeCell ref="B27:D27"/>
    <mergeCell ref="Z23:Z25"/>
    <mergeCell ref="AA23:AA25"/>
    <mergeCell ref="AB23:AB25"/>
    <mergeCell ref="Q25:R28"/>
    <mergeCell ref="S25:S28"/>
    <mergeCell ref="T25:T28"/>
    <mergeCell ref="U25:U28"/>
    <mergeCell ref="V25:V28"/>
    <mergeCell ref="W25:W28"/>
    <mergeCell ref="X25:X28"/>
    <mergeCell ref="V12:Y13"/>
    <mergeCell ref="V4:Y4"/>
    <mergeCell ref="Q7:R7"/>
    <mergeCell ref="Q8:R8"/>
    <mergeCell ref="Q9:R9"/>
    <mergeCell ref="Q5:R5"/>
    <mergeCell ref="Q6:R6"/>
    <mergeCell ref="Q13:R13"/>
    <mergeCell ref="Q10:R10"/>
    <mergeCell ref="S4:U4"/>
    <mergeCell ref="S12:U13"/>
    <mergeCell ref="J42:J46"/>
    <mergeCell ref="B47:D47"/>
    <mergeCell ref="X14:X17"/>
    <mergeCell ref="B28:D28"/>
    <mergeCell ref="Q18:R18"/>
    <mergeCell ref="Q19:R19"/>
    <mergeCell ref="Q20:R20"/>
    <mergeCell ref="C31:N31"/>
    <mergeCell ref="Q21:R21"/>
    <mergeCell ref="Q30:R30"/>
    <mergeCell ref="Q31:R31"/>
    <mergeCell ref="Q22:R22"/>
    <mergeCell ref="U14:U17"/>
    <mergeCell ref="Y14:Y17"/>
    <mergeCell ref="S36:S38"/>
    <mergeCell ref="T36:T38"/>
    <mergeCell ref="U36:U38"/>
    <mergeCell ref="S14:S17"/>
    <mergeCell ref="T14:T17"/>
    <mergeCell ref="V36:V38"/>
    <mergeCell ref="W14:W17"/>
    <mergeCell ref="V14:V17"/>
    <mergeCell ref="B50:D50"/>
    <mergeCell ref="Q33:R33"/>
    <mergeCell ref="Q14:R17"/>
    <mergeCell ref="Q32:R32"/>
    <mergeCell ref="B42:D46"/>
    <mergeCell ref="B40:J41"/>
    <mergeCell ref="H42:H46"/>
    <mergeCell ref="Q40:R40"/>
    <mergeCell ref="Q41:R41"/>
    <mergeCell ref="Q42:R42"/>
    <mergeCell ref="B48:D48"/>
    <mergeCell ref="B49:D49"/>
    <mergeCell ref="E42:E46"/>
    <mergeCell ref="F42:F46"/>
    <mergeCell ref="G42:G46"/>
    <mergeCell ref="I42:I46"/>
  </mergeCells>
  <pageMargins left="0.2" right="0.2" top="0.25" bottom="0.25" header="0.3" footer="0.3"/>
  <pageSetup paperSize="3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2:U72"/>
  <sheetViews>
    <sheetView view="pageBreakPreview" zoomScale="85" zoomScaleNormal="85" zoomScaleSheetLayoutView="85" workbookViewId="0">
      <selection activeCell="L42" sqref="L42:L43"/>
    </sheetView>
  </sheetViews>
  <sheetFormatPr defaultColWidth="9.140625" defaultRowHeight="15"/>
  <cols>
    <col min="1" max="1" width="9.140625" style="99"/>
    <col min="2" max="5" width="11.7109375" style="17" customWidth="1"/>
    <col min="6" max="6" width="15.42578125" style="17" customWidth="1"/>
    <col min="7" max="8" width="11.7109375" style="17" customWidth="1"/>
    <col min="9" max="9" width="11.7109375" style="103" customWidth="1"/>
    <col min="10" max="10" width="11.7109375" style="17" customWidth="1"/>
    <col min="11" max="11" width="13.42578125" style="17" customWidth="1"/>
    <col min="12" max="13" width="11.7109375" style="17" customWidth="1"/>
    <col min="14" max="14" width="13.5703125" style="17" customWidth="1"/>
    <col min="15" max="15" width="13.7109375" style="17" customWidth="1"/>
    <col min="16" max="17" width="14.42578125" style="17" customWidth="1"/>
    <col min="18" max="18" width="15.7109375" style="17" customWidth="1"/>
    <col min="19" max="19" width="13.140625" style="80" customWidth="1"/>
    <col min="20" max="20" width="19.28515625" style="17" customWidth="1"/>
    <col min="21" max="22" width="14.7109375" style="17" customWidth="1"/>
    <col min="23" max="24" width="9.140625" style="17"/>
    <col min="25" max="27" width="11" style="17" customWidth="1"/>
    <col min="28" max="16384" width="9.140625" style="17"/>
  </cols>
  <sheetData>
    <row r="2" spans="2:21">
      <c r="B2" s="18" t="s">
        <v>412</v>
      </c>
    </row>
    <row r="3" spans="2:21" ht="15.75" thickBot="1"/>
    <row r="4" spans="2:21" ht="35.1" customHeight="1">
      <c r="B4" s="522" t="s">
        <v>0</v>
      </c>
      <c r="C4" s="617" t="s">
        <v>92</v>
      </c>
      <c r="D4" s="617" t="s">
        <v>93</v>
      </c>
      <c r="E4" s="619" t="s">
        <v>94</v>
      </c>
      <c r="F4" s="617" t="s">
        <v>21</v>
      </c>
      <c r="G4" s="619" t="s">
        <v>22</v>
      </c>
      <c r="H4" s="617" t="s">
        <v>57</v>
      </c>
      <c r="I4" s="619" t="s">
        <v>56</v>
      </c>
      <c r="J4" s="619" t="s">
        <v>96</v>
      </c>
      <c r="K4" s="630" t="s">
        <v>1</v>
      </c>
      <c r="L4" s="114"/>
      <c r="M4" s="80"/>
      <c r="S4" s="17"/>
    </row>
    <row r="5" spans="2:21" ht="35.1" customHeight="1" thickBot="1">
      <c r="B5" s="524"/>
      <c r="C5" s="618"/>
      <c r="D5" s="618"/>
      <c r="E5" s="620"/>
      <c r="F5" s="618"/>
      <c r="G5" s="620"/>
      <c r="H5" s="618"/>
      <c r="I5" s="620"/>
      <c r="J5" s="620"/>
      <c r="K5" s="631"/>
      <c r="L5" s="114"/>
      <c r="M5" s="40"/>
      <c r="N5" s="31"/>
      <c r="O5" s="31"/>
      <c r="P5" s="31"/>
      <c r="S5" s="17"/>
    </row>
    <row r="6" spans="2:21">
      <c r="B6" s="250">
        <v>2020</v>
      </c>
      <c r="C6" s="369">
        <f>'Economic Competitiveness'!L6</f>
        <v>-666584.87999999814</v>
      </c>
      <c r="D6" s="392">
        <f t="shared" ref="D6:D26" si="0">C6*$N$20</f>
        <v>-2343045.8531999937</v>
      </c>
      <c r="E6" s="394">
        <f t="shared" ref="E6:E26" si="1">C6*$O$20</f>
        <v>-1788447.233039995</v>
      </c>
      <c r="F6" s="396">
        <f t="shared" ref="F6:F26" si="2">+D6*10^-6</f>
        <v>-2.3430458531999938</v>
      </c>
      <c r="G6" s="398">
        <f t="shared" ref="G6:G26" si="3">+E6*10^-6</f>
        <v>-1.788447233039995</v>
      </c>
      <c r="H6" s="400">
        <f>(F6*$O$24)*((1+0.02)^(B6-2020))</f>
        <v>-22195.43906277822</v>
      </c>
      <c r="I6" s="401">
        <f>G6*$O$25*((1+0.02)^(B6-2020))</f>
        <v>-4136.9467171064634</v>
      </c>
      <c r="J6" s="402">
        <f>SUM(H6:I6)*((1+0.02)^(B6-2020))</f>
        <v>-26332.385779884684</v>
      </c>
      <c r="K6" s="391">
        <f>J6*((1+0.07)^-(B6-2020))</f>
        <v>-26332.385779884684</v>
      </c>
      <c r="L6" s="199"/>
      <c r="M6" s="570" t="s">
        <v>382</v>
      </c>
      <c r="N6" s="570"/>
      <c r="O6" s="570"/>
      <c r="P6" s="570"/>
      <c r="Q6" s="570"/>
      <c r="R6" s="570"/>
      <c r="S6" s="570"/>
      <c r="T6" s="570"/>
      <c r="U6" s="570"/>
    </row>
    <row r="7" spans="2:21" ht="15" customHeight="1">
      <c r="B7" s="251">
        <f>+B6+1</f>
        <v>2021</v>
      </c>
      <c r="C7" s="369">
        <f>'Economic Competitiveness'!L7</f>
        <v>-683495.50923333247</v>
      </c>
      <c r="D7" s="393">
        <f t="shared" si="0"/>
        <v>-2402486.7149551637</v>
      </c>
      <c r="E7" s="395">
        <f t="shared" si="1"/>
        <v>-1833818.4512730308</v>
      </c>
      <c r="F7" s="397">
        <f t="shared" si="2"/>
        <v>-2.4024867149551636</v>
      </c>
      <c r="G7" s="399">
        <f t="shared" si="3"/>
        <v>-1.8338184512730307</v>
      </c>
      <c r="H7" s="400">
        <f t="shared" ref="H7:H26" si="4">(F7*$O$24)*((1+0.02)^(B7-2020))</f>
        <v>-23213.686730140744</v>
      </c>
      <c r="I7" s="401">
        <f t="shared" ref="I7:I26" si="5">G7*$O$25*((1+0.02)^(B7-2020))</f>
        <v>-4326.7350935734548</v>
      </c>
      <c r="J7" s="402">
        <f t="shared" ref="J7:J26" si="6">SUM(H7:I7)*((1+0.02)^(B7-2020))</f>
        <v>-28091.23026018848</v>
      </c>
      <c r="K7" s="391">
        <f t="shared" ref="K7:K26" si="7">J7*((1+0.07)^-(B7-2020))</f>
        <v>-26253.486224475215</v>
      </c>
      <c r="L7" s="199"/>
      <c r="M7" s="570"/>
      <c r="N7" s="570"/>
      <c r="O7" s="570"/>
      <c r="P7" s="570"/>
      <c r="Q7" s="570"/>
      <c r="R7" s="570"/>
      <c r="S7" s="570"/>
      <c r="T7" s="570"/>
      <c r="U7" s="570"/>
    </row>
    <row r="8" spans="2:21">
      <c r="B8" s="251">
        <f t="shared" ref="B8:B26" si="8">+B7+1</f>
        <v>2022</v>
      </c>
      <c r="C8" s="369">
        <f>'Economic Competitiveness'!L8</f>
        <v>-700549.98693333124</v>
      </c>
      <c r="D8" s="393">
        <f t="shared" si="0"/>
        <v>-2462433.2040706594</v>
      </c>
      <c r="E8" s="395">
        <f t="shared" si="1"/>
        <v>-1879575.6149421276</v>
      </c>
      <c r="F8" s="397">
        <f t="shared" si="2"/>
        <v>-2.4624332040706594</v>
      </c>
      <c r="G8" s="399">
        <f t="shared" si="3"/>
        <v>-1.8795756149421274</v>
      </c>
      <c r="H8" s="400">
        <f t="shared" si="4"/>
        <v>-24268.769392194121</v>
      </c>
      <c r="I8" s="401">
        <f t="shared" si="5"/>
        <v>-4523.3890431849977</v>
      </c>
      <c r="J8" s="402">
        <f t="shared" si="6"/>
        <v>-29955.361636168436</v>
      </c>
      <c r="K8" s="391">
        <f t="shared" si="7"/>
        <v>-26164.17297245911</v>
      </c>
      <c r="L8" s="199"/>
      <c r="M8" s="566"/>
      <c r="N8" s="566"/>
      <c r="O8" s="567"/>
      <c r="P8" s="614" t="s">
        <v>304</v>
      </c>
      <c r="Q8" s="614" t="s">
        <v>305</v>
      </c>
      <c r="R8" s="614" t="s">
        <v>385</v>
      </c>
      <c r="S8" s="614" t="s">
        <v>308</v>
      </c>
      <c r="T8" s="614" t="s">
        <v>306</v>
      </c>
      <c r="U8" s="614" t="s">
        <v>307</v>
      </c>
    </row>
    <row r="9" spans="2:21">
      <c r="B9" s="251">
        <f t="shared" si="8"/>
        <v>2023</v>
      </c>
      <c r="C9" s="369">
        <f>'Economic Competitiveness'!L9</f>
        <v>-717748.31309999898</v>
      </c>
      <c r="D9" s="393">
        <f t="shared" si="0"/>
        <v>-2522885.3205464967</v>
      </c>
      <c r="E9" s="395">
        <f t="shared" si="1"/>
        <v>-1925718.7240472971</v>
      </c>
      <c r="F9" s="397">
        <f t="shared" si="2"/>
        <v>-2.5228853205464965</v>
      </c>
      <c r="G9" s="399">
        <f t="shared" si="3"/>
        <v>-1.925718724047297</v>
      </c>
      <c r="H9" s="400">
        <f t="shared" si="4"/>
        <v>-25361.852814931626</v>
      </c>
      <c r="I9" s="401">
        <f t="shared" si="5"/>
        <v>-4727.1258498517718</v>
      </c>
      <c r="J9" s="402">
        <f t="shared" si="6"/>
        <v>-31930.664870897457</v>
      </c>
      <c r="K9" s="391">
        <f t="shared" si="7"/>
        <v>-26064.933941826901</v>
      </c>
      <c r="L9" s="199"/>
      <c r="M9" s="566"/>
      <c r="N9" s="566"/>
      <c r="O9" s="567"/>
      <c r="P9" s="614"/>
      <c r="Q9" s="614"/>
      <c r="R9" s="614"/>
      <c r="S9" s="614"/>
      <c r="T9" s="614"/>
      <c r="U9" s="614"/>
    </row>
    <row r="10" spans="2:21" ht="15" customHeight="1">
      <c r="B10" s="251">
        <f t="shared" si="8"/>
        <v>2024</v>
      </c>
      <c r="C10" s="369">
        <f>'Economic Competitiveness'!L10</f>
        <v>-735090.48773333256</v>
      </c>
      <c r="D10" s="393">
        <f t="shared" si="0"/>
        <v>-2583843.0643826639</v>
      </c>
      <c r="E10" s="395">
        <f t="shared" si="1"/>
        <v>-1972247.7785885311</v>
      </c>
      <c r="F10" s="397">
        <f t="shared" si="2"/>
        <v>-2.583843064382664</v>
      </c>
      <c r="G10" s="399">
        <f t="shared" si="3"/>
        <v>-1.9722477785885311</v>
      </c>
      <c r="H10" s="400">
        <f t="shared" si="4"/>
        <v>-26494.136654293579</v>
      </c>
      <c r="I10" s="401">
        <f t="shared" si="5"/>
        <v>-4938.1691141382871</v>
      </c>
      <c r="J10" s="402">
        <f t="shared" si="6"/>
        <v>-34023.338626704164</v>
      </c>
      <c r="K10" s="391">
        <f t="shared" si="7"/>
        <v>-25956.242136184228</v>
      </c>
      <c r="L10" s="199"/>
      <c r="M10" s="566"/>
      <c r="N10" s="566"/>
      <c r="O10" s="567"/>
      <c r="P10" s="614"/>
      <c r="Q10" s="614"/>
      <c r="R10" s="614"/>
      <c r="S10" s="614"/>
      <c r="T10" s="614"/>
      <c r="U10" s="614"/>
    </row>
    <row r="11" spans="2:21">
      <c r="B11" s="251">
        <f t="shared" si="8"/>
        <v>2025</v>
      </c>
      <c r="C11" s="369">
        <f>'Economic Competitiveness'!L11+'Economic Competitiveness'!D11</f>
        <v>-174045.34333333152</v>
      </c>
      <c r="D11" s="393">
        <f t="shared" si="0"/>
        <v>-611769.38181666029</v>
      </c>
      <c r="E11" s="395">
        <f t="shared" si="1"/>
        <v>-466963.65616332844</v>
      </c>
      <c r="F11" s="397">
        <f t="shared" si="2"/>
        <v>-0.6117693818166603</v>
      </c>
      <c r="G11" s="399">
        <f t="shared" si="3"/>
        <v>-0.46696365616332841</v>
      </c>
      <c r="H11" s="400">
        <f t="shared" si="4"/>
        <v>-6398.4023885632278</v>
      </c>
      <c r="I11" s="401">
        <f t="shared" si="5"/>
        <v>-1192.5805874452278</v>
      </c>
      <c r="J11" s="402">
        <f t="shared" si="6"/>
        <v>-8381.0585812289428</v>
      </c>
      <c r="K11" s="391">
        <f t="shared" si="7"/>
        <v>-5975.5789378592381</v>
      </c>
      <c r="L11" s="199"/>
      <c r="M11" s="566"/>
      <c r="N11" s="566"/>
      <c r="O11" s="567"/>
      <c r="P11" s="614"/>
      <c r="Q11" s="614"/>
      <c r="R11" s="614"/>
      <c r="S11" s="614"/>
      <c r="T11" s="614"/>
      <c r="U11" s="614"/>
    </row>
    <row r="12" spans="2:21">
      <c r="B12" s="251">
        <f t="shared" si="8"/>
        <v>2026</v>
      </c>
      <c r="C12" s="369">
        <f>'Economic Competitiveness'!L12+'Economic Competitiveness'!D12</f>
        <v>-180105.52039999847</v>
      </c>
      <c r="D12" s="393">
        <f t="shared" si="0"/>
        <v>-633070.90420599468</v>
      </c>
      <c r="E12" s="395">
        <f t="shared" si="1"/>
        <v>-483223.11123319587</v>
      </c>
      <c r="F12" s="397">
        <f t="shared" si="2"/>
        <v>-0.63307090420599466</v>
      </c>
      <c r="G12" s="399">
        <f t="shared" si="3"/>
        <v>-0.48322311123319583</v>
      </c>
      <c r="H12" s="400">
        <f t="shared" si="4"/>
        <v>-6753.6155880252199</v>
      </c>
      <c r="I12" s="401">
        <f t="shared" si="5"/>
        <v>-1258.7877967385784</v>
      </c>
      <c r="J12" s="402">
        <f t="shared" si="6"/>
        <v>-9023.2675799046629</v>
      </c>
      <c r="K12" s="391">
        <f t="shared" si="7"/>
        <v>-6012.5841852851145</v>
      </c>
      <c r="L12" s="199"/>
      <c r="M12" s="568"/>
      <c r="N12" s="568"/>
      <c r="O12" s="569"/>
      <c r="P12" s="614"/>
      <c r="Q12" s="614"/>
      <c r="R12" s="614"/>
      <c r="S12" s="614"/>
      <c r="T12" s="614"/>
      <c r="U12" s="614"/>
    </row>
    <row r="13" spans="2:21">
      <c r="B13" s="251">
        <f t="shared" si="8"/>
        <v>2027</v>
      </c>
      <c r="C13" s="254">
        <f>'Economic Competitiveness'!L13</f>
        <v>787980.10243333166</v>
      </c>
      <c r="D13" s="151">
        <f t="shared" si="0"/>
        <v>2769750.0600531609</v>
      </c>
      <c r="E13" s="152">
        <f t="shared" si="1"/>
        <v>2114150.6148286285</v>
      </c>
      <c r="F13" s="312">
        <f t="shared" si="2"/>
        <v>2.7697500600531608</v>
      </c>
      <c r="G13" s="314">
        <f t="shared" si="3"/>
        <v>2.1141506148286284</v>
      </c>
      <c r="H13" s="400">
        <f t="shared" si="4"/>
        <v>30138.715264523627</v>
      </c>
      <c r="I13" s="401">
        <f t="shared" si="5"/>
        <v>5617.4720769759315</v>
      </c>
      <c r="J13" s="402">
        <f t="shared" si="6"/>
        <v>41072.619928963148</v>
      </c>
      <c r="K13" s="391">
        <f t="shared" si="7"/>
        <v>25577.963459285711</v>
      </c>
      <c r="L13" s="199"/>
      <c r="M13" s="562" t="s">
        <v>296</v>
      </c>
      <c r="N13" s="562"/>
      <c r="O13" s="563"/>
      <c r="P13" s="357">
        <v>47.2</v>
      </c>
      <c r="Q13" s="357">
        <v>59.7</v>
      </c>
      <c r="R13" s="387">
        <v>4256</v>
      </c>
      <c r="S13" s="220">
        <v>4918</v>
      </c>
      <c r="T13" s="357">
        <v>2020</v>
      </c>
      <c r="U13" s="357">
        <v>2040</v>
      </c>
    </row>
    <row r="14" spans="2:21" ht="15" customHeight="1">
      <c r="B14" s="251">
        <f t="shared" si="8"/>
        <v>2028</v>
      </c>
      <c r="C14" s="254">
        <f>'Economic Competitiveness'!L14</f>
        <v>805897.67093333276</v>
      </c>
      <c r="D14" s="151">
        <f t="shared" si="0"/>
        <v>2832730.3133306648</v>
      </c>
      <c r="E14" s="152">
        <f t="shared" si="1"/>
        <v>2162223.4511141316</v>
      </c>
      <c r="F14" s="312">
        <f>+D14*10^-6</f>
        <v>2.8327303133306647</v>
      </c>
      <c r="G14" s="314">
        <f t="shared" si="3"/>
        <v>2.1622234511141314</v>
      </c>
      <c r="H14" s="400">
        <f t="shared" si="4"/>
        <v>31440.508166169864</v>
      </c>
      <c r="I14" s="401">
        <f t="shared" si="5"/>
        <v>5860.10966822094</v>
      </c>
      <c r="J14" s="402">
        <f t="shared" si="6"/>
        <v>43703.618802844394</v>
      </c>
      <c r="K14" s="391">
        <f t="shared" si="7"/>
        <v>25435.904045695243</v>
      </c>
      <c r="L14" s="199"/>
      <c r="M14" s="562" t="s">
        <v>364</v>
      </c>
      <c r="N14" s="562"/>
      <c r="O14" s="563"/>
      <c r="P14" s="357">
        <v>49.8</v>
      </c>
      <c r="Q14" s="357">
        <v>64.900000000000006</v>
      </c>
      <c r="R14" s="220">
        <v>4661</v>
      </c>
      <c r="S14" s="220">
        <v>4211</v>
      </c>
      <c r="T14" s="357">
        <v>2020</v>
      </c>
      <c r="U14" s="357">
        <v>2040</v>
      </c>
    </row>
    <row r="15" spans="2:21">
      <c r="B15" s="251">
        <f t="shared" si="8"/>
        <v>2029</v>
      </c>
      <c r="C15" s="254">
        <f>'Economic Competitiveness'!L15</f>
        <v>823959.08789999888</v>
      </c>
      <c r="D15" s="151">
        <f t="shared" si="0"/>
        <v>2896216.1939684963</v>
      </c>
      <c r="E15" s="152">
        <f t="shared" si="1"/>
        <v>2210682.232835697</v>
      </c>
      <c r="F15" s="312">
        <f t="shared" si="2"/>
        <v>2.8962161939684963</v>
      </c>
      <c r="G15" s="314">
        <f t="shared" si="3"/>
        <v>2.2106822328356968</v>
      </c>
      <c r="H15" s="400">
        <f t="shared" si="4"/>
        <v>32788.041501276253</v>
      </c>
      <c r="I15" s="401">
        <f t="shared" si="5"/>
        <v>6111.2726927996537</v>
      </c>
      <c r="J15" s="402">
        <f t="shared" si="6"/>
        <v>46488.281317844492</v>
      </c>
      <c r="K15" s="391">
        <f t="shared" si="7"/>
        <v>25286.544843519885</v>
      </c>
      <c r="L15" s="199"/>
      <c r="M15" s="562" t="s">
        <v>365</v>
      </c>
      <c r="N15" s="562"/>
      <c r="O15" s="563"/>
      <c r="P15" s="357">
        <v>49.7</v>
      </c>
      <c r="Q15" s="357">
        <v>84.7</v>
      </c>
      <c r="R15" s="220">
        <v>4178</v>
      </c>
      <c r="S15" s="220">
        <v>4828</v>
      </c>
      <c r="T15" s="357">
        <v>2020</v>
      </c>
      <c r="U15" s="357">
        <v>2040</v>
      </c>
    </row>
    <row r="16" spans="2:21">
      <c r="B16" s="251">
        <f t="shared" si="8"/>
        <v>2030</v>
      </c>
      <c r="C16" s="254">
        <f>'Economic Competitiveness'!L16</f>
        <v>842164.35333333234</v>
      </c>
      <c r="D16" s="151">
        <f t="shared" si="0"/>
        <v>2960207.7019666634</v>
      </c>
      <c r="E16" s="152">
        <f t="shared" si="1"/>
        <v>2259526.9599933308</v>
      </c>
      <c r="F16" s="312">
        <f t="shared" si="2"/>
        <v>2.9602077019666631</v>
      </c>
      <c r="G16" s="314">
        <f t="shared" si="3"/>
        <v>2.2595269599933308</v>
      </c>
      <c r="H16" s="400">
        <f t="shared" si="4"/>
        <v>34182.73865409063</v>
      </c>
      <c r="I16" s="401">
        <f t="shared" si="5"/>
        <v>6371.2264513792325</v>
      </c>
      <c r="J16" s="402">
        <f t="shared" si="6"/>
        <v>49435.057172229855</v>
      </c>
      <c r="K16" s="391">
        <f t="shared" si="7"/>
        <v>25130.276320142351</v>
      </c>
      <c r="L16" s="199"/>
      <c r="M16" s="562" t="s">
        <v>368</v>
      </c>
      <c r="N16" s="562"/>
      <c r="O16" s="563"/>
      <c r="P16" s="388">
        <v>34.1</v>
      </c>
      <c r="Q16" s="388">
        <v>49.4</v>
      </c>
      <c r="R16" s="220">
        <v>3768</v>
      </c>
      <c r="S16" s="387">
        <v>4354</v>
      </c>
      <c r="T16" s="357">
        <v>2020</v>
      </c>
      <c r="U16" s="357">
        <v>2040</v>
      </c>
    </row>
    <row r="17" spans="1:19">
      <c r="B17" s="251">
        <f t="shared" si="8"/>
        <v>2031</v>
      </c>
      <c r="C17" s="254">
        <f>'Economic Competitiveness'!L17</f>
        <v>860513.46723333199</v>
      </c>
      <c r="D17" s="151">
        <f t="shared" si="0"/>
        <v>3024704.8373251623</v>
      </c>
      <c r="E17" s="152">
        <f t="shared" si="1"/>
        <v>2308757.6325870296</v>
      </c>
      <c r="F17" s="312">
        <f t="shared" si="2"/>
        <v>3.0247048373251619</v>
      </c>
      <c r="G17" s="314">
        <f t="shared" si="3"/>
        <v>2.3087576325870294</v>
      </c>
      <c r="H17" s="400">
        <f t="shared" si="4"/>
        <v>35626.06393773864</v>
      </c>
      <c r="I17" s="401">
        <f t="shared" si="5"/>
        <v>6640.2438732475684</v>
      </c>
      <c r="J17" s="402">
        <f t="shared" si="6"/>
        <v>52552.841242880459</v>
      </c>
      <c r="K17" s="391">
        <f t="shared" si="7"/>
        <v>24967.476304192973</v>
      </c>
      <c r="L17" s="199"/>
      <c r="M17" s="213"/>
      <c r="N17" s="252"/>
      <c r="O17" s="252"/>
      <c r="P17" s="252"/>
      <c r="Q17" s="23"/>
      <c r="R17" s="23"/>
      <c r="S17" s="17"/>
    </row>
    <row r="18" spans="1:19" ht="17.25">
      <c r="B18" s="251">
        <f t="shared" si="8"/>
        <v>2032</v>
      </c>
      <c r="C18" s="254">
        <f>'Economic Competitiveness'!L18</f>
        <v>879006.42959999887</v>
      </c>
      <c r="D18" s="151">
        <f t="shared" si="0"/>
        <v>3089707.6000439962</v>
      </c>
      <c r="E18" s="152">
        <f t="shared" si="1"/>
        <v>2358374.2506167968</v>
      </c>
      <c r="F18" s="312">
        <f t="shared" si="2"/>
        <v>3.089707600043996</v>
      </c>
      <c r="G18" s="314">
        <f t="shared" si="3"/>
        <v>2.3583742506167966</v>
      </c>
      <c r="H18" s="400">
        <f t="shared" si="4"/>
        <v>37119.523707818982</v>
      </c>
      <c r="I18" s="401">
        <f t="shared" si="5"/>
        <v>6918.6057238732483</v>
      </c>
      <c r="J18" s="402">
        <f t="shared" si="6"/>
        <v>55850.996299626997</v>
      </c>
      <c r="K18" s="391">
        <f t="shared" si="7"/>
        <v>24798.510292544437</v>
      </c>
      <c r="L18" s="199"/>
      <c r="M18" s="29" t="s">
        <v>251</v>
      </c>
      <c r="N18" s="22"/>
      <c r="O18" s="22"/>
      <c r="P18" s="22"/>
      <c r="Q18" s="23"/>
      <c r="S18" s="17"/>
    </row>
    <row r="19" spans="1:19">
      <c r="B19" s="251">
        <f t="shared" si="8"/>
        <v>2033</v>
      </c>
      <c r="C19" s="254">
        <f>'Economic Competitiveness'!L19</f>
        <v>897643.24043333251</v>
      </c>
      <c r="D19" s="151">
        <f t="shared" si="0"/>
        <v>3155215.9901231639</v>
      </c>
      <c r="E19" s="152">
        <f t="shared" si="1"/>
        <v>2408376.8140826309</v>
      </c>
      <c r="F19" s="312">
        <f t="shared" si="2"/>
        <v>3.1552159901231636</v>
      </c>
      <c r="G19" s="314">
        <f t="shared" si="3"/>
        <v>2.4083768140826307</v>
      </c>
      <c r="H19" s="400">
        <f t="shared" si="4"/>
        <v>38664.667505086414</v>
      </c>
      <c r="I19" s="401">
        <f t="shared" si="5"/>
        <v>7206.6008178870734</v>
      </c>
      <c r="J19" s="402">
        <f t="shared" si="6"/>
        <v>59339.37684992369</v>
      </c>
      <c r="K19" s="391">
        <f t="shared" si="7"/>
        <v>24623.731752578453</v>
      </c>
      <c r="L19" s="199"/>
      <c r="M19" s="268" t="s">
        <v>11</v>
      </c>
      <c r="N19" s="269" t="s">
        <v>97</v>
      </c>
      <c r="O19" s="269" t="s">
        <v>12</v>
      </c>
      <c r="S19" s="17"/>
    </row>
    <row r="20" spans="1:19">
      <c r="B20" s="251">
        <f t="shared" si="8"/>
        <v>2034</v>
      </c>
      <c r="C20" s="254">
        <f>'Economic Competitiveness'!L20</f>
        <v>916423.89973333268</v>
      </c>
      <c r="D20" s="151">
        <f t="shared" si="0"/>
        <v>3221230.0075626643</v>
      </c>
      <c r="E20" s="152">
        <f t="shared" si="1"/>
        <v>2458765.3229845315</v>
      </c>
      <c r="F20" s="312">
        <f t="shared" si="2"/>
        <v>3.2212300075626641</v>
      </c>
      <c r="G20" s="314">
        <f t="shared" si="3"/>
        <v>2.4587653229845312</v>
      </c>
      <c r="H20" s="400">
        <f t="shared" si="4"/>
        <v>40263.089227959579</v>
      </c>
      <c r="I20" s="401">
        <f t="shared" si="5"/>
        <v>7504.5262376225692</v>
      </c>
      <c r="J20" s="402">
        <f t="shared" si="6"/>
        <v>63028.354168989252</v>
      </c>
      <c r="K20" s="391">
        <f t="shared" si="7"/>
        <v>24443.482419680218</v>
      </c>
      <c r="L20" s="199"/>
      <c r="M20" s="229" t="s">
        <v>13</v>
      </c>
      <c r="N20" s="270">
        <v>3.5150000000000001</v>
      </c>
      <c r="O20" s="270">
        <v>2.6829999999999998</v>
      </c>
      <c r="P20" s="300"/>
      <c r="S20" s="17"/>
    </row>
    <row r="21" spans="1:19">
      <c r="B21" s="251">
        <f t="shared" si="8"/>
        <v>2035</v>
      </c>
      <c r="C21" s="254">
        <f>'Economic Competitiveness'!L21</f>
        <v>935348.40749999869</v>
      </c>
      <c r="D21" s="151">
        <f t="shared" si="0"/>
        <v>3287749.6523624957</v>
      </c>
      <c r="E21" s="152">
        <f t="shared" si="1"/>
        <v>2509539.7773224963</v>
      </c>
      <c r="F21" s="312">
        <f t="shared" si="2"/>
        <v>3.2877496523624954</v>
      </c>
      <c r="G21" s="314">
        <f t="shared" si="3"/>
        <v>2.5095397773224963</v>
      </c>
      <c r="H21" s="400">
        <f t="shared" si="4"/>
        <v>41916.428335607707</v>
      </c>
      <c r="I21" s="401">
        <f t="shared" si="5"/>
        <v>7812.6875573559992</v>
      </c>
      <c r="J21" s="402">
        <f t="shared" si="6"/>
        <v>66928.842573191097</v>
      </c>
      <c r="K21" s="391">
        <f t="shared" si="7"/>
        <v>24258.092589923221</v>
      </c>
      <c r="L21" s="199"/>
      <c r="M21" s="97"/>
      <c r="N21" s="98"/>
      <c r="O21" s="98"/>
      <c r="P21" s="299"/>
      <c r="Q21" s="24"/>
      <c r="S21" s="17"/>
    </row>
    <row r="22" spans="1:19" ht="17.25">
      <c r="B22" s="251">
        <f t="shared" si="8"/>
        <v>2036</v>
      </c>
      <c r="C22" s="254">
        <f>'Economic Competitiveness'!L22</f>
        <v>954416.76373333239</v>
      </c>
      <c r="D22" s="151">
        <f t="shared" si="0"/>
        <v>3354774.9245226635</v>
      </c>
      <c r="E22" s="152">
        <f t="shared" si="1"/>
        <v>2560700.1770965308</v>
      </c>
      <c r="F22" s="312">
        <f t="shared" si="2"/>
        <v>3.3547749245226632</v>
      </c>
      <c r="G22" s="314">
        <f t="shared" si="3"/>
        <v>2.5607001770965305</v>
      </c>
      <c r="H22" s="400">
        <f t="shared" si="4"/>
        <v>43626.371082390004</v>
      </c>
      <c r="I22" s="401">
        <f t="shared" si="5"/>
        <v>8131.399073390121</v>
      </c>
      <c r="J22" s="402">
        <f t="shared" si="6"/>
        <v>71052.326997220458</v>
      </c>
      <c r="K22" s="391">
        <f t="shared" si="7"/>
        <v>24067.881407915826</v>
      </c>
      <c r="L22" s="199"/>
      <c r="M22" s="29" t="s">
        <v>252</v>
      </c>
      <c r="S22" s="17"/>
    </row>
    <row r="23" spans="1:19">
      <c r="B23" s="251">
        <f t="shared" si="8"/>
        <v>2037</v>
      </c>
      <c r="C23" s="254">
        <f>'Economic Competitiveness'!L23</f>
        <v>973628.9684333317</v>
      </c>
      <c r="D23" s="151">
        <f t="shared" si="0"/>
        <v>3422305.8240431612</v>
      </c>
      <c r="E23" s="152">
        <f t="shared" si="1"/>
        <v>2612246.522306629</v>
      </c>
      <c r="F23" s="312">
        <f t="shared" si="2"/>
        <v>3.422305824043161</v>
      </c>
      <c r="G23" s="314">
        <f t="shared" si="3"/>
        <v>2.6122465223066289</v>
      </c>
      <c r="H23" s="400">
        <f t="shared" si="4"/>
        <v>45394.651784439047</v>
      </c>
      <c r="I23" s="401">
        <f t="shared" si="5"/>
        <v>8460.9840401291767</v>
      </c>
      <c r="J23" s="402">
        <f t="shared" si="6"/>
        <v>75410.891938503773</v>
      </c>
      <c r="K23" s="391">
        <f t="shared" si="7"/>
        <v>23873.157149786712</v>
      </c>
      <c r="L23" s="199"/>
      <c r="M23" s="632" t="s">
        <v>14</v>
      </c>
      <c r="N23" s="633"/>
      <c r="O23" s="628" t="s">
        <v>299</v>
      </c>
      <c r="P23" s="629"/>
      <c r="S23" s="17"/>
    </row>
    <row r="24" spans="1:19">
      <c r="B24" s="251">
        <f t="shared" si="8"/>
        <v>2038</v>
      </c>
      <c r="C24" s="254">
        <f>'Economic Competitiveness'!L24</f>
        <v>992985.02159999881</v>
      </c>
      <c r="D24" s="151">
        <f t="shared" si="0"/>
        <v>3490342.350923996</v>
      </c>
      <c r="E24" s="152">
        <f t="shared" si="1"/>
        <v>2664178.8129527965</v>
      </c>
      <c r="F24" s="312">
        <f t="shared" si="2"/>
        <v>3.4903423509239957</v>
      </c>
      <c r="G24" s="314">
        <f t="shared" si="3"/>
        <v>2.6641788129527963</v>
      </c>
      <c r="H24" s="400">
        <f t="shared" si="4"/>
        <v>47223.054119201486</v>
      </c>
      <c r="I24" s="401">
        <f t="shared" si="5"/>
        <v>8801.7749122966979</v>
      </c>
      <c r="J24" s="402">
        <f t="shared" si="6"/>
        <v>80017.251835339513</v>
      </c>
      <c r="K24" s="391">
        <f t="shared" si="7"/>
        <v>23674.217501295145</v>
      </c>
      <c r="L24" s="199"/>
      <c r="M24" s="266" t="s">
        <v>16</v>
      </c>
      <c r="N24" s="271"/>
      <c r="O24" s="624">
        <f>8600*$O$31</f>
        <v>9472.9</v>
      </c>
      <c r="P24" s="625"/>
      <c r="S24" s="17"/>
    </row>
    <row r="25" spans="1:19">
      <c r="B25" s="251">
        <f t="shared" si="8"/>
        <v>2039</v>
      </c>
      <c r="C25" s="254">
        <f>'Economic Competitiveness'!L25</f>
        <v>1012484.9232333323</v>
      </c>
      <c r="D25" s="151">
        <f t="shared" si="0"/>
        <v>3558884.5051651634</v>
      </c>
      <c r="E25" s="152">
        <f t="shared" si="1"/>
        <v>2716497.0490350304</v>
      </c>
      <c r="F25" s="312">
        <f t="shared" si="2"/>
        <v>3.5588845051651634</v>
      </c>
      <c r="G25" s="314">
        <f t="shared" si="3"/>
        <v>2.7164970490350302</v>
      </c>
      <c r="H25" s="400">
        <f t="shared" si="4"/>
        <v>49113.412458766274</v>
      </c>
      <c r="I25" s="401">
        <f t="shared" si="5"/>
        <v>9154.1135934508839</v>
      </c>
      <c r="J25" s="402">
        <f t="shared" si="6"/>
        <v>84884.782948424501</v>
      </c>
      <c r="K25" s="391">
        <f t="shared" si="7"/>
        <v>23471.349831055792</v>
      </c>
      <c r="L25" s="199"/>
      <c r="M25" s="266" t="s">
        <v>15</v>
      </c>
      <c r="N25" s="271"/>
      <c r="O25" s="624">
        <f>2100*$O$31</f>
        <v>2313.1499999999996</v>
      </c>
      <c r="P25" s="625"/>
      <c r="S25" s="17"/>
    </row>
    <row r="26" spans="1:19" ht="15.75" thickBot="1">
      <c r="B26" s="253">
        <f t="shared" si="8"/>
        <v>2040</v>
      </c>
      <c r="C26" s="333">
        <f>'Economic Competitiveness'!L26</f>
        <v>1032128.6733333326</v>
      </c>
      <c r="D26" s="153">
        <f t="shared" si="0"/>
        <v>3627932.2867666646</v>
      </c>
      <c r="E26" s="154">
        <f t="shared" si="1"/>
        <v>2769201.2305533313</v>
      </c>
      <c r="F26" s="313">
        <f t="shared" si="2"/>
        <v>3.6279322867666646</v>
      </c>
      <c r="G26" s="315">
        <f t="shared" si="3"/>
        <v>2.7692012305533313</v>
      </c>
      <c r="H26" s="400">
        <f t="shared" si="4"/>
        <v>51067.613237834135</v>
      </c>
      <c r="I26" s="401">
        <f t="shared" si="5"/>
        <v>9518.351690956657</v>
      </c>
      <c r="J26" s="402">
        <f t="shared" si="6"/>
        <v>90027.556818772573</v>
      </c>
      <c r="K26" s="391">
        <f t="shared" si="7"/>
        <v>23264.831458876113</v>
      </c>
      <c r="L26" s="199"/>
      <c r="S26" s="17"/>
    </row>
    <row r="27" spans="1:19" ht="15.75" customHeight="1" thickBot="1">
      <c r="B27" s="19"/>
      <c r="C27" s="157"/>
      <c r="D27" s="19"/>
      <c r="E27" s="19"/>
      <c r="F27" s="621" t="s">
        <v>229</v>
      </c>
      <c r="G27" s="622"/>
      <c r="H27" s="622"/>
      <c r="I27" s="623"/>
      <c r="J27" s="186">
        <f>SUM(J6:J26)</f>
        <v>712055.49155977729</v>
      </c>
      <c r="K27" s="186">
        <f>SUM(K6:K26)</f>
        <v>200114.03519851761</v>
      </c>
      <c r="L27" s="200"/>
      <c r="M27" s="29" t="s">
        <v>253</v>
      </c>
      <c r="N27" s="29"/>
      <c r="O27" s="30"/>
      <c r="S27" s="17"/>
    </row>
    <row r="28" spans="1:19">
      <c r="F28" s="573"/>
      <c r="G28" s="573"/>
      <c r="H28" s="573"/>
      <c r="I28" s="573"/>
      <c r="J28" s="265"/>
      <c r="K28" s="265"/>
      <c r="M28" s="626" t="s">
        <v>335</v>
      </c>
      <c r="N28" s="627"/>
      <c r="O28" s="288">
        <v>1.1939</v>
      </c>
      <c r="P28" s="30"/>
      <c r="S28" s="17"/>
    </row>
    <row r="29" spans="1:19">
      <c r="B29" s="18"/>
      <c r="M29" s="80"/>
      <c r="S29" s="17"/>
    </row>
    <row r="30" spans="1:19" ht="15" customHeight="1">
      <c r="A30" s="100" t="s">
        <v>24</v>
      </c>
      <c r="B30" s="535" t="s">
        <v>240</v>
      </c>
      <c r="C30" s="535"/>
      <c r="D30" s="535"/>
      <c r="E30" s="535"/>
      <c r="F30" s="535"/>
      <c r="G30" s="535"/>
      <c r="H30" s="26"/>
      <c r="M30" s="29" t="s">
        <v>254</v>
      </c>
      <c r="S30" s="17"/>
    </row>
    <row r="31" spans="1:19">
      <c r="B31" s="535"/>
      <c r="C31" s="535"/>
      <c r="D31" s="535"/>
      <c r="E31" s="535"/>
      <c r="F31" s="535"/>
      <c r="G31" s="535"/>
      <c r="H31" s="26"/>
      <c r="M31" s="615" t="s">
        <v>145</v>
      </c>
      <c r="N31" s="615"/>
      <c r="O31" s="272">
        <v>1.1014999999999999</v>
      </c>
      <c r="S31" s="17"/>
    </row>
    <row r="32" spans="1:19">
      <c r="B32" s="26"/>
      <c r="C32" s="26"/>
      <c r="D32" s="26"/>
      <c r="E32" s="26"/>
      <c r="F32" s="26"/>
      <c r="G32" s="26"/>
      <c r="H32" s="26"/>
      <c r="O32" s="80"/>
      <c r="S32" s="17"/>
    </row>
    <row r="33" spans="1:20" ht="15" customHeight="1">
      <c r="A33" s="100" t="s">
        <v>23</v>
      </c>
      <c r="B33" s="535" t="s">
        <v>98</v>
      </c>
      <c r="C33" s="535"/>
      <c r="D33" s="535"/>
      <c r="E33" s="535"/>
      <c r="F33" s="535"/>
      <c r="G33" s="535"/>
      <c r="H33" s="535"/>
      <c r="I33" s="535"/>
      <c r="J33" s="535"/>
      <c r="K33" s="535"/>
      <c r="O33" s="616"/>
      <c r="P33" s="616"/>
      <c r="S33" s="17"/>
    </row>
    <row r="34" spans="1:20" ht="15" customHeight="1">
      <c r="B34" s="535"/>
      <c r="C34" s="535"/>
      <c r="D34" s="535"/>
      <c r="E34" s="535"/>
      <c r="F34" s="535"/>
      <c r="G34" s="535"/>
      <c r="H34" s="535"/>
      <c r="I34" s="535"/>
      <c r="J34" s="535"/>
      <c r="K34" s="535"/>
      <c r="S34" s="17"/>
    </row>
    <row r="35" spans="1:20" ht="15" customHeight="1"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Q35" s="410"/>
    </row>
    <row r="36" spans="1:20" ht="15" customHeight="1">
      <c r="B36" s="535"/>
      <c r="C36" s="535"/>
      <c r="D36" s="535"/>
      <c r="E36" s="535"/>
      <c r="F36" s="535"/>
      <c r="G36" s="535"/>
      <c r="H36" s="535"/>
      <c r="I36" s="535"/>
      <c r="J36" s="535"/>
      <c r="K36" s="535"/>
    </row>
    <row r="37" spans="1:20"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20" ht="15" customHeight="1">
      <c r="A38" s="100" t="s">
        <v>25</v>
      </c>
      <c r="B38" s="535" t="s">
        <v>339</v>
      </c>
      <c r="C38" s="535"/>
      <c r="D38" s="535"/>
      <c r="E38" s="535"/>
      <c r="F38" s="535"/>
      <c r="G38" s="535"/>
      <c r="H38" s="535"/>
      <c r="I38" s="535"/>
      <c r="J38" s="535"/>
      <c r="K38" s="535"/>
      <c r="L38" s="26"/>
    </row>
    <row r="39" spans="1:20" ht="15" customHeight="1">
      <c r="A39" s="100"/>
      <c r="B39" s="535"/>
      <c r="C39" s="535"/>
      <c r="D39" s="535"/>
      <c r="E39" s="535"/>
      <c r="F39" s="535"/>
      <c r="G39" s="535"/>
      <c r="H39" s="535"/>
      <c r="I39" s="535"/>
      <c r="J39" s="535"/>
      <c r="K39" s="535"/>
      <c r="L39" s="26"/>
    </row>
    <row r="40" spans="1:20">
      <c r="B40" s="26"/>
      <c r="C40" s="26"/>
      <c r="D40" s="26"/>
      <c r="E40" s="26"/>
      <c r="F40" s="26"/>
      <c r="G40" s="26"/>
      <c r="H40" s="26"/>
      <c r="K40" s="26"/>
      <c r="L40" s="26"/>
    </row>
    <row r="41" spans="1:20" ht="15" customHeight="1">
      <c r="A41" s="100" t="s">
        <v>27</v>
      </c>
      <c r="B41" s="535" t="s">
        <v>338</v>
      </c>
      <c r="C41" s="535"/>
      <c r="D41" s="535"/>
      <c r="E41" s="535"/>
      <c r="F41" s="535"/>
      <c r="G41" s="535"/>
      <c r="H41" s="535"/>
      <c r="I41" s="535"/>
      <c r="J41" s="535"/>
      <c r="K41" s="535"/>
      <c r="L41" s="26"/>
    </row>
    <row r="42" spans="1:20" ht="15" customHeight="1">
      <c r="B42" s="535"/>
      <c r="C42" s="535"/>
      <c r="D42" s="535"/>
      <c r="E42" s="535"/>
      <c r="F42" s="535"/>
      <c r="G42" s="535"/>
      <c r="H42" s="535"/>
      <c r="I42" s="535"/>
      <c r="J42" s="535"/>
      <c r="K42" s="535"/>
      <c r="L42" s="21"/>
    </row>
    <row r="43" spans="1:20" ht="15.75" customHeight="1">
      <c r="A43" s="100"/>
      <c r="B43" s="535"/>
      <c r="C43" s="535"/>
      <c r="D43" s="535"/>
      <c r="E43" s="535"/>
      <c r="F43" s="535"/>
      <c r="G43" s="535"/>
      <c r="H43" s="535"/>
      <c r="I43" s="535"/>
      <c r="J43" s="535"/>
      <c r="K43" s="535"/>
      <c r="L43" s="21"/>
    </row>
    <row r="44" spans="1:20">
      <c r="B44" s="26"/>
      <c r="C44" s="26"/>
      <c r="D44" s="26"/>
      <c r="E44" s="26"/>
      <c r="F44" s="26"/>
      <c r="G44" s="26"/>
      <c r="H44" s="26"/>
      <c r="I44" s="104"/>
      <c r="J44" s="26"/>
      <c r="K44" s="21"/>
      <c r="L44" s="21"/>
    </row>
    <row r="45" spans="1:20" ht="15" customHeight="1">
      <c r="A45" s="100"/>
      <c r="B45" s="26"/>
      <c r="C45" s="26"/>
      <c r="D45" s="26"/>
      <c r="E45" s="26"/>
      <c r="F45" s="26"/>
      <c r="G45" s="26"/>
      <c r="H45" s="26"/>
      <c r="I45" s="105"/>
      <c r="J45" s="21"/>
      <c r="K45" s="21"/>
      <c r="L45" s="21"/>
    </row>
    <row r="46" spans="1:20">
      <c r="A46" s="100"/>
      <c r="B46" s="26"/>
      <c r="C46" s="26"/>
      <c r="D46" s="26"/>
      <c r="E46" s="26"/>
      <c r="F46" s="26"/>
      <c r="G46" s="26"/>
      <c r="H46" s="26"/>
      <c r="I46" s="105"/>
      <c r="J46" s="21"/>
      <c r="K46" s="21"/>
      <c r="L46" s="21"/>
      <c r="S46" s="17"/>
    </row>
    <row r="47" spans="1:20" ht="15" customHeight="1">
      <c r="B47" s="26"/>
      <c r="C47" s="26"/>
      <c r="D47" s="26"/>
      <c r="E47" s="26"/>
      <c r="F47" s="26"/>
      <c r="G47" s="26"/>
      <c r="H47" s="26"/>
      <c r="I47" s="105"/>
      <c r="J47" s="21"/>
      <c r="K47" s="21"/>
      <c r="L47" s="21"/>
      <c r="S47" s="17"/>
    </row>
    <row r="48" spans="1:20">
      <c r="B48" s="26"/>
      <c r="C48" s="26"/>
      <c r="D48" s="26"/>
      <c r="E48" s="26"/>
      <c r="F48" s="26"/>
      <c r="G48" s="26"/>
      <c r="H48" s="26"/>
      <c r="I48" s="105"/>
      <c r="J48" s="21"/>
      <c r="K48" s="21"/>
      <c r="L48" s="21"/>
      <c r="S48" s="17"/>
      <c r="T48" s="194"/>
    </row>
    <row r="49" spans="1:20">
      <c r="I49" s="105"/>
      <c r="J49" s="21"/>
      <c r="K49" s="21"/>
      <c r="L49" s="21"/>
      <c r="S49" s="194"/>
      <c r="T49" s="194"/>
    </row>
    <row r="50" spans="1:20">
      <c r="I50" s="105"/>
      <c r="J50" s="21"/>
      <c r="K50" s="21"/>
      <c r="L50" s="21"/>
      <c r="S50" s="194"/>
      <c r="T50" s="194"/>
    </row>
    <row r="51" spans="1:20">
      <c r="I51" s="105"/>
      <c r="J51" s="21"/>
      <c r="K51" s="21"/>
      <c r="L51" s="21"/>
      <c r="S51" s="194"/>
    </row>
    <row r="52" spans="1:20" ht="15.75">
      <c r="I52" s="105"/>
      <c r="J52" s="21"/>
      <c r="K52" s="21"/>
      <c r="L52" s="21"/>
      <c r="S52" s="164" t="s">
        <v>272</v>
      </c>
    </row>
    <row r="53" spans="1:20">
      <c r="I53" s="105"/>
      <c r="J53" s="21"/>
      <c r="K53" s="21"/>
      <c r="L53" s="21"/>
    </row>
    <row r="54" spans="1:20">
      <c r="I54" s="105"/>
      <c r="J54" s="21"/>
      <c r="K54" s="21"/>
      <c r="L54" s="21"/>
    </row>
    <row r="55" spans="1:20" ht="15" customHeight="1">
      <c r="A55" s="100"/>
      <c r="B55" s="26"/>
      <c r="C55" s="26"/>
      <c r="D55" s="26"/>
      <c r="E55" s="26"/>
      <c r="F55" s="26"/>
      <c r="G55" s="21"/>
      <c r="H55" s="21"/>
      <c r="I55" s="105"/>
      <c r="J55" s="21"/>
    </row>
    <row r="56" spans="1:20" ht="15" customHeight="1">
      <c r="I56" s="105"/>
      <c r="J56" s="21"/>
    </row>
    <row r="57" spans="1:20" ht="15" customHeight="1">
      <c r="B57" s="26"/>
      <c r="C57" s="26"/>
      <c r="D57" s="26"/>
      <c r="E57" s="26"/>
      <c r="F57" s="26"/>
      <c r="I57" s="105"/>
      <c r="J57" s="21"/>
    </row>
    <row r="58" spans="1:20" ht="15" customHeight="1">
      <c r="B58" s="26"/>
      <c r="C58" s="26"/>
      <c r="D58" s="26"/>
      <c r="E58" s="26"/>
      <c r="F58" s="26"/>
      <c r="R58" s="23"/>
    </row>
    <row r="59" spans="1:20" ht="15" customHeight="1">
      <c r="B59" s="26"/>
      <c r="C59" s="26"/>
      <c r="D59" s="26"/>
      <c r="E59" s="26"/>
      <c r="F59" s="26"/>
      <c r="R59" s="23"/>
    </row>
    <row r="60" spans="1:20">
      <c r="B60" s="26"/>
      <c r="C60" s="26"/>
      <c r="D60" s="26"/>
      <c r="E60" s="26"/>
      <c r="F60" s="26"/>
      <c r="R60" s="23"/>
    </row>
    <row r="61" spans="1:20">
      <c r="B61" s="26"/>
      <c r="C61" s="26"/>
      <c r="D61" s="26"/>
      <c r="E61" s="26"/>
      <c r="F61" s="26"/>
      <c r="R61" s="23"/>
    </row>
    <row r="62" spans="1:20" ht="15" customHeight="1">
      <c r="B62" s="26"/>
      <c r="C62" s="26"/>
      <c r="D62" s="26"/>
      <c r="E62" s="26"/>
      <c r="F62" s="26"/>
    </row>
    <row r="63" spans="1:20">
      <c r="A63" s="100"/>
      <c r="F63" s="26"/>
    </row>
    <row r="64" spans="1:20">
      <c r="F64" s="26"/>
    </row>
    <row r="65" spans="1:6" ht="15" customHeight="1">
      <c r="F65" s="26"/>
    </row>
    <row r="66" spans="1:6">
      <c r="F66" s="26"/>
    </row>
    <row r="68" spans="1:6" ht="15" customHeight="1">
      <c r="A68" s="100"/>
    </row>
    <row r="71" spans="1:6">
      <c r="A71" s="100"/>
      <c r="B71" s="26"/>
      <c r="C71" s="26"/>
      <c r="D71" s="26"/>
      <c r="E71" s="26"/>
    </row>
    <row r="72" spans="1:6">
      <c r="B72" s="26"/>
      <c r="C72" s="26"/>
      <c r="D72" s="26"/>
      <c r="E72" s="26"/>
    </row>
  </sheetData>
  <mergeCells count="35">
    <mergeCell ref="O23:P23"/>
    <mergeCell ref="K4:K5"/>
    <mergeCell ref="M23:N23"/>
    <mergeCell ref="C4:C5"/>
    <mergeCell ref="G4:G5"/>
    <mergeCell ref="H4:H5"/>
    <mergeCell ref="I4:I5"/>
    <mergeCell ref="J4:J5"/>
    <mergeCell ref="M16:O16"/>
    <mergeCell ref="B41:K43"/>
    <mergeCell ref="M31:N31"/>
    <mergeCell ref="O33:P33"/>
    <mergeCell ref="B4:B5"/>
    <mergeCell ref="B30:G31"/>
    <mergeCell ref="D4:D5"/>
    <mergeCell ref="E4:E5"/>
    <mergeCell ref="F4:F5"/>
    <mergeCell ref="F27:I27"/>
    <mergeCell ref="F28:I28"/>
    <mergeCell ref="O24:P24"/>
    <mergeCell ref="O25:P25"/>
    <mergeCell ref="M28:N28"/>
    <mergeCell ref="B33:K36"/>
    <mergeCell ref="B38:K39"/>
    <mergeCell ref="M6:U7"/>
    <mergeCell ref="T8:T12"/>
    <mergeCell ref="U8:U12"/>
    <mergeCell ref="M13:O13"/>
    <mergeCell ref="M14:O14"/>
    <mergeCell ref="M15:O15"/>
    <mergeCell ref="M8:O12"/>
    <mergeCell ref="P8:P12"/>
    <mergeCell ref="Q8:Q12"/>
    <mergeCell ref="R8:R12"/>
    <mergeCell ref="S8:S12"/>
  </mergeCells>
  <pageMargins left="0.2" right="0.2" top="0.25" bottom="0.25" header="0.3" footer="0.3"/>
  <pageSetup paperSize="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49"/>
  <sheetViews>
    <sheetView view="pageBreakPreview" zoomScaleNormal="85" zoomScaleSheetLayoutView="100" workbookViewId="0">
      <selection activeCell="L27" sqref="L27"/>
    </sheetView>
  </sheetViews>
  <sheetFormatPr defaultRowHeight="15"/>
  <cols>
    <col min="1" max="1" width="9.140625" style="7"/>
    <col min="2" max="2" width="10.140625" customWidth="1"/>
    <col min="3" max="5" width="11.42578125" customWidth="1"/>
    <col min="6" max="6" width="12.5703125" customWidth="1"/>
    <col min="7" max="7" width="13.7109375" style="61" bestFit="1" customWidth="1"/>
    <col min="8" max="8" width="11.42578125" style="61" customWidth="1"/>
    <col min="9" max="9" width="13.85546875" customWidth="1"/>
    <col min="10" max="10" width="15.28515625" customWidth="1"/>
    <col min="11" max="11" width="14" customWidth="1"/>
    <col min="12" max="12" width="13.140625" bestFit="1" customWidth="1"/>
    <col min="14" max="14" width="10.28515625" customWidth="1"/>
    <col min="15" max="15" width="18.28515625" customWidth="1"/>
    <col min="16" max="16" width="11.28515625" bestFit="1" customWidth="1"/>
    <col min="17" max="17" width="12.5703125" customWidth="1"/>
    <col min="18" max="18" width="14.7109375" bestFit="1" customWidth="1"/>
    <col min="22" max="22" width="8.85546875" customWidth="1"/>
  </cols>
  <sheetData>
    <row r="1" spans="1:22">
      <c r="A1" s="20"/>
      <c r="B1" s="17"/>
      <c r="C1" s="17"/>
      <c r="D1" s="17"/>
    </row>
    <row r="2" spans="1:22" ht="15.75" thickBot="1">
      <c r="B2" s="18" t="s">
        <v>411</v>
      </c>
      <c r="C2" s="17"/>
      <c r="D2" s="17"/>
      <c r="E2" s="17"/>
    </row>
    <row r="3" spans="1:22" ht="15.75" thickBot="1">
      <c r="B3" s="17"/>
      <c r="C3" s="17"/>
      <c r="D3" s="17"/>
      <c r="E3" s="17"/>
      <c r="G3" s="639" t="s">
        <v>106</v>
      </c>
      <c r="H3" s="640"/>
      <c r="I3" s="640"/>
      <c r="J3" s="641"/>
      <c r="K3" s="34"/>
      <c r="Q3" s="145"/>
      <c r="R3" s="145"/>
    </row>
    <row r="4" spans="1:22" ht="18" customHeight="1">
      <c r="B4" s="586" t="s">
        <v>0</v>
      </c>
      <c r="C4" s="637" t="s">
        <v>77</v>
      </c>
      <c r="D4" s="637" t="s">
        <v>76</v>
      </c>
      <c r="E4" s="637" t="s">
        <v>78</v>
      </c>
      <c r="F4" s="637" t="s">
        <v>79</v>
      </c>
      <c r="G4" s="593" t="s">
        <v>72</v>
      </c>
      <c r="H4" s="637" t="s">
        <v>70</v>
      </c>
      <c r="I4" s="637" t="s">
        <v>71</v>
      </c>
      <c r="J4" s="607" t="s">
        <v>73</v>
      </c>
      <c r="K4" s="586" t="s">
        <v>74</v>
      </c>
      <c r="L4" s="586" t="s">
        <v>248</v>
      </c>
    </row>
    <row r="5" spans="1:22" ht="18.75" customHeight="1" thickBot="1">
      <c r="B5" s="587"/>
      <c r="C5" s="638"/>
      <c r="D5" s="638"/>
      <c r="E5" s="638"/>
      <c r="F5" s="638"/>
      <c r="G5" s="594"/>
      <c r="H5" s="638"/>
      <c r="I5" s="638"/>
      <c r="J5" s="608"/>
      <c r="K5" s="587"/>
      <c r="L5" s="587"/>
      <c r="N5" s="6" t="s">
        <v>150</v>
      </c>
    </row>
    <row r="6" spans="1:22">
      <c r="B6" s="1">
        <v>2020</v>
      </c>
      <c r="C6" s="62">
        <f>$P$18*(1+$Q$10)^(B6-2018)</f>
        <v>23.737194704090648</v>
      </c>
      <c r="D6" s="63">
        <f>$P$19*(1+$Q$10)^(B6-2018)</f>
        <v>72.161071900435559</v>
      </c>
      <c r="E6" s="64">
        <f t="shared" ref="E6:E8" si="0">$Q$18*(1+$Q$10)^(B6-2018)</f>
        <v>70.098996946709349</v>
      </c>
      <c r="F6" s="65">
        <f t="shared" ref="F6:F7" si="1">$Q$19*(1+$Q$10)^(B6-2018)</f>
        <v>173.18657256104538</v>
      </c>
      <c r="G6" s="293">
        <f>(SUM(D6,F6)*$Q$23*$Q$24*$Q$25*$Q$26*$P$42)*((1+0.02)^(B6-2020))</f>
        <v>1052224.9944174555</v>
      </c>
      <c r="H6" s="42">
        <f>(SUM(D6,F6)*$R$30*$P$41)*((1+0.02)^(B6-2020))</f>
        <v>47203.347973962867</v>
      </c>
      <c r="I6" s="42">
        <f>(F6*$Q$34*$Q$35*$P$41)*((1+0.02)^(B6-2020))</f>
        <v>950140.9196964954</v>
      </c>
      <c r="J6" s="5">
        <f>(D6*$Q$14*2*$Q$23*$P$38*$P$42)*((1+0.02)^(B6-2020))</f>
        <v>133564.16337806711</v>
      </c>
      <c r="K6" s="15">
        <f>SUM(G6:J6)</f>
        <v>2183133.425465981</v>
      </c>
      <c r="L6" s="5">
        <f>K6*(1+0.07)^-(B6-2020)</f>
        <v>2183133.425465981</v>
      </c>
      <c r="N6" s="648" t="s">
        <v>223</v>
      </c>
      <c r="O6" s="648"/>
      <c r="P6" s="649" t="s">
        <v>63</v>
      </c>
      <c r="Q6" s="650"/>
    </row>
    <row r="7" spans="1:22">
      <c r="B7" s="2">
        <f>+B6+1</f>
        <v>2021</v>
      </c>
      <c r="C7" s="62">
        <f>$P$18*(1+$Q$10)^(B7-2018)</f>
        <v>23.972905047502266</v>
      </c>
      <c r="D7" s="63">
        <f>$P$19*(1+$Q$10)^(B7-2018)</f>
        <v>72.877631344406879</v>
      </c>
      <c r="E7" s="64">
        <f t="shared" si="0"/>
        <v>70.795079986390164</v>
      </c>
      <c r="F7" s="65">
        <f t="shared" si="1"/>
        <v>174.90631522657657</v>
      </c>
      <c r="G7" s="293">
        <f t="shared" ref="G7:G26" si="2">(SUM(D7,F7)*$Q$23*$Q$24*$Q$25*$Q$26*$P$42)*((1+0.02)^(B7-2020))</f>
        <v>1083927.0603842614</v>
      </c>
      <c r="H7" s="42">
        <f t="shared" ref="H7:H26" si="3">(SUM(D7,F7)*$R$30*$P$41)*((1+0.02)^(B7-2020))</f>
        <v>48625.518763731212</v>
      </c>
      <c r="I7" s="42">
        <f t="shared" ref="I7:I26" si="4">(F7*$Q$34*$Q$35*$P$41)*((1+0.02)^(B7-2020))</f>
        <v>978767.33540966315</v>
      </c>
      <c r="J7" s="5">
        <f t="shared" ref="J7:J26" si="5">(D7*$Q$14*2*$Q$23*$P$38*$P$42)*((1+0.02)^(B7-2020))</f>
        <v>137588.26463081953</v>
      </c>
      <c r="K7" s="16">
        <f t="shared" ref="K7:K25" si="6">SUM(G7:J7)</f>
        <v>2248908.1791884755</v>
      </c>
      <c r="L7" s="5">
        <f t="shared" ref="L7:L26" si="7">K7*(1+0.07)^-(B7-2020)</f>
        <v>2101783.3450359586</v>
      </c>
      <c r="N7" s="635" t="s">
        <v>245</v>
      </c>
      <c r="O7" s="635"/>
      <c r="P7" s="636">
        <v>7992</v>
      </c>
      <c r="Q7" s="636"/>
      <c r="U7" s="550"/>
      <c r="V7" s="550"/>
    </row>
    <row r="8" spans="1:22">
      <c r="B8" s="2">
        <f t="shared" ref="B8:B25" si="8">+B7+1</f>
        <v>2022</v>
      </c>
      <c r="C8" s="62">
        <f t="shared" ref="C8:C26" si="9">$P$18*(1+$Q$10)^(B8-2018)</f>
        <v>24.210955994623962</v>
      </c>
      <c r="D8" s="63">
        <f t="shared" ref="D8:D26" si="10">$P$19*(1+$Q$10)^(B8-2018)</f>
        <v>73.601306223656849</v>
      </c>
      <c r="E8" s="64">
        <f t="shared" si="0"/>
        <v>71.498075130655025</v>
      </c>
      <c r="F8" s="65">
        <f>$Q$19*(1+$Q$10)^(B8-2018)</f>
        <v>176.64313493677648</v>
      </c>
      <c r="G8" s="293">
        <f t="shared" si="2"/>
        <v>1116584.2652157545</v>
      </c>
      <c r="H8" s="42">
        <f t="shared" si="3"/>
        <v>50090.537568356165</v>
      </c>
      <c r="I8" s="42">
        <f t="shared" si="4"/>
        <v>1008256.2249512867</v>
      </c>
      <c r="J8" s="5">
        <f t="shared" si="5"/>
        <v>141733.60642057564</v>
      </c>
      <c r="K8" s="16">
        <f t="shared" si="6"/>
        <v>2316664.6341559729</v>
      </c>
      <c r="L8" s="5">
        <f t="shared" si="7"/>
        <v>2023464.6118927179</v>
      </c>
    </row>
    <row r="9" spans="1:22">
      <c r="B9" s="2">
        <f t="shared" si="8"/>
        <v>2023</v>
      </c>
      <c r="C9" s="62">
        <f t="shared" si="9"/>
        <v>24.451370787650578</v>
      </c>
      <c r="D9" s="63">
        <f t="shared" si="10"/>
        <v>74.332167194457753</v>
      </c>
      <c r="E9" s="64">
        <f>$Q$18*(1+$Q$10)^(B9-2018)</f>
        <v>72.208051016702427</v>
      </c>
      <c r="F9" s="65">
        <f t="shared" ref="F9:F26" si="11">$Q$19*(1+$Q$10)^(B9-2018)</f>
        <v>178.39720126669866</v>
      </c>
      <c r="G9" s="293">
        <f t="shared" si="2"/>
        <v>1150225.3859087341</v>
      </c>
      <c r="H9" s="42">
        <f t="shared" si="3"/>
        <v>51599.695338538135</v>
      </c>
      <c r="I9" s="42">
        <f t="shared" si="4"/>
        <v>1038633.5734503539</v>
      </c>
      <c r="J9" s="5">
        <f t="shared" si="5"/>
        <v>146003.84155497854</v>
      </c>
      <c r="K9" s="16">
        <f t="shared" si="6"/>
        <v>2386462.4962526043</v>
      </c>
      <c r="L9" s="5">
        <f t="shared" si="7"/>
        <v>1948064.2689706434</v>
      </c>
      <c r="N9" s="6" t="s">
        <v>130</v>
      </c>
    </row>
    <row r="10" spans="1:22" ht="15.75">
      <c r="B10" s="2">
        <f t="shared" si="8"/>
        <v>2024</v>
      </c>
      <c r="C10" s="62">
        <f t="shared" si="9"/>
        <v>24.694172899571953</v>
      </c>
      <c r="D10" s="63">
        <f t="shared" si="10"/>
        <v>75.070285614698733</v>
      </c>
      <c r="E10" s="64">
        <f t="shared" ref="E10:E26" si="12">$Q$18*(1+$Q$10)^(B10-2018)</f>
        <v>72.925076963298281</v>
      </c>
      <c r="F10" s="65">
        <f t="shared" si="11"/>
        <v>180.16868547527699</v>
      </c>
      <c r="G10" s="293">
        <f t="shared" si="2"/>
        <v>1184880.0664706239</v>
      </c>
      <c r="H10" s="42">
        <f t="shared" si="3"/>
        <v>53154.321919514819</v>
      </c>
      <c r="I10" s="42">
        <f t="shared" si="4"/>
        <v>1069926.1489314104</v>
      </c>
      <c r="J10" s="5">
        <f t="shared" si="5"/>
        <v>150402.73289565195</v>
      </c>
      <c r="K10" s="16">
        <f t="shared" si="6"/>
        <v>2458363.2702172007</v>
      </c>
      <c r="L10" s="5">
        <f t="shared" si="7"/>
        <v>1875473.5683221989</v>
      </c>
      <c r="N10" s="634" t="s">
        <v>233</v>
      </c>
      <c r="O10" s="634"/>
      <c r="P10" s="634"/>
      <c r="Q10" s="274">
        <v>9.9299999999999996E-3</v>
      </c>
    </row>
    <row r="11" spans="1:22" ht="15.75">
      <c r="B11" s="2">
        <f t="shared" si="8"/>
        <v>2025</v>
      </c>
      <c r="C11" s="62">
        <f t="shared" si="9"/>
        <v>24.939386036464697</v>
      </c>
      <c r="D11" s="63">
        <f t="shared" si="10"/>
        <v>75.81573355085267</v>
      </c>
      <c r="E11" s="64">
        <f t="shared" si="12"/>
        <v>73.649222977543829</v>
      </c>
      <c r="F11" s="65">
        <f t="shared" si="11"/>
        <v>181.95776052204647</v>
      </c>
      <c r="G11" s="293">
        <f t="shared" si="2"/>
        <v>1220578.8440412905</v>
      </c>
      <c r="H11" s="42">
        <f t="shared" si="3"/>
        <v>54755.787222899111</v>
      </c>
      <c r="I11" s="42">
        <f t="shared" si="4"/>
        <v>1102161.5259021053</v>
      </c>
      <c r="J11" s="5">
        <f t="shared" si="5"/>
        <v>154934.15667397185</v>
      </c>
      <c r="K11" s="16">
        <f t="shared" si="6"/>
        <v>2532430.3138402668</v>
      </c>
      <c r="L11" s="5">
        <f t="shared" si="7"/>
        <v>1805587.8142735991</v>
      </c>
      <c r="N11" s="634" t="s">
        <v>234</v>
      </c>
      <c r="O11" s="634"/>
      <c r="P11" s="634"/>
      <c r="Q11" s="275">
        <v>0.72799999999999998</v>
      </c>
    </row>
    <row r="12" spans="1:22" ht="15.75">
      <c r="B12" s="2">
        <f t="shared" si="8"/>
        <v>2026</v>
      </c>
      <c r="C12" s="62">
        <f t="shared" si="9"/>
        <v>25.187034139806791</v>
      </c>
      <c r="D12" s="63">
        <f t="shared" si="10"/>
        <v>76.568583785012635</v>
      </c>
      <c r="E12" s="64">
        <f t="shared" si="12"/>
        <v>74.380559761710828</v>
      </c>
      <c r="F12" s="65">
        <f t="shared" si="11"/>
        <v>183.76460108403037</v>
      </c>
      <c r="G12" s="293">
        <f t="shared" si="2"/>
        <v>1257353.175801873</v>
      </c>
      <c r="H12" s="42">
        <f t="shared" si="3"/>
        <v>56405.502433822941</v>
      </c>
      <c r="I12" s="42">
        <f t="shared" si="4"/>
        <v>1135368.1096513993</v>
      </c>
      <c r="J12" s="5">
        <f t="shared" si="5"/>
        <v>159602.10590673925</v>
      </c>
      <c r="K12" s="16">
        <f t="shared" si="6"/>
        <v>2608728.8937938348</v>
      </c>
      <c r="L12" s="5">
        <f t="shared" si="7"/>
        <v>1738306.2124249747</v>
      </c>
      <c r="N12" s="651" t="s">
        <v>235</v>
      </c>
      <c r="O12" s="652"/>
      <c r="P12" s="653"/>
      <c r="Q12" s="275">
        <v>8.0000000000000002E-3</v>
      </c>
    </row>
    <row r="13" spans="1:22" ht="15.75">
      <c r="B13" s="2">
        <f t="shared" si="8"/>
        <v>2027</v>
      </c>
      <c r="C13" s="62">
        <f t="shared" si="9"/>
        <v>25.437141388815075</v>
      </c>
      <c r="D13" s="63">
        <f t="shared" si="10"/>
        <v>77.328909821997811</v>
      </c>
      <c r="E13" s="64">
        <f t="shared" si="12"/>
        <v>75.119158720144625</v>
      </c>
      <c r="F13" s="65">
        <f t="shared" si="11"/>
        <v>185.58938357279482</v>
      </c>
      <c r="G13" s="293">
        <f t="shared" si="2"/>
        <v>1295235.4666943371</v>
      </c>
      <c r="H13" s="42">
        <f t="shared" si="3"/>
        <v>58104.921254450608</v>
      </c>
      <c r="I13" s="42">
        <f t="shared" si="4"/>
        <v>1169575.1612798425</v>
      </c>
      <c r="J13" s="5">
        <f t="shared" si="5"/>
        <v>164410.69391476101</v>
      </c>
      <c r="K13" s="16">
        <f t="shared" si="6"/>
        <v>2687326.2431433909</v>
      </c>
      <c r="L13" s="5">
        <f t="shared" si="7"/>
        <v>1673531.7242772346</v>
      </c>
      <c r="N13" s="651" t="s">
        <v>236</v>
      </c>
      <c r="O13" s="652"/>
      <c r="P13" s="653"/>
      <c r="Q13" s="276">
        <v>0.5</v>
      </c>
    </row>
    <row r="14" spans="1:22" ht="15.75">
      <c r="B14" s="2">
        <f t="shared" si="8"/>
        <v>2028</v>
      </c>
      <c r="C14" s="62">
        <f t="shared" si="9"/>
        <v>25.689732202806006</v>
      </c>
      <c r="D14" s="63">
        <f t="shared" si="10"/>
        <v>78.09678589653025</v>
      </c>
      <c r="E14" s="64">
        <f t="shared" si="12"/>
        <v>75.865091966235653</v>
      </c>
      <c r="F14" s="65">
        <f t="shared" si="11"/>
        <v>187.43228615167266</v>
      </c>
      <c r="G14" s="293">
        <f t="shared" si="2"/>
        <v>1334259.0979761842</v>
      </c>
      <c r="H14" s="42">
        <f t="shared" si="3"/>
        <v>59855.541184957452</v>
      </c>
      <c r="I14" s="42">
        <f t="shared" si="4"/>
        <v>1204812.8234839784</v>
      </c>
      <c r="J14" s="5">
        <f t="shared" si="5"/>
        <v>169364.1579474413</v>
      </c>
      <c r="K14" s="16">
        <f t="shared" si="6"/>
        <v>2768291.6205925611</v>
      </c>
      <c r="L14" s="5">
        <f t="shared" si="7"/>
        <v>1611170.9272759755</v>
      </c>
      <c r="N14" s="634" t="s">
        <v>237</v>
      </c>
      <c r="O14" s="634"/>
      <c r="P14" s="634"/>
      <c r="Q14" s="277">
        <v>8</v>
      </c>
      <c r="R14" s="28"/>
      <c r="S14" s="28"/>
    </row>
    <row r="15" spans="1:22">
      <c r="B15" s="2">
        <f t="shared" si="8"/>
        <v>2029</v>
      </c>
      <c r="C15" s="62">
        <f t="shared" si="9"/>
        <v>25.944831243579866</v>
      </c>
      <c r="D15" s="63">
        <f t="shared" si="10"/>
        <v>78.872286980482784</v>
      </c>
      <c r="E15" s="64">
        <f t="shared" si="12"/>
        <v>76.618432329460376</v>
      </c>
      <c r="F15" s="65">
        <f t="shared" si="11"/>
        <v>189.29348875315873</v>
      </c>
      <c r="G15" s="293">
        <f t="shared" si="2"/>
        <v>1374458.4566354689</v>
      </c>
      <c r="H15" s="42">
        <f t="shared" si="3"/>
        <v>61658.904843102559</v>
      </c>
      <c r="I15" s="42">
        <f t="shared" si="4"/>
        <v>1241112.1471175973</v>
      </c>
      <c r="J15" s="5">
        <f t="shared" si="5"/>
        <v>174466.86291657653</v>
      </c>
      <c r="K15" s="16">
        <f t="shared" si="6"/>
        <v>2851696.3715127455</v>
      </c>
      <c r="L15" s="5">
        <f t="shared" si="7"/>
        <v>1551133.8800705627</v>
      </c>
      <c r="S15" s="28"/>
    </row>
    <row r="16" spans="1:22" ht="17.25">
      <c r="B16" s="2">
        <f t="shared" si="8"/>
        <v>2030</v>
      </c>
      <c r="C16" s="62">
        <f t="shared" si="9"/>
        <v>26.202463417828618</v>
      </c>
      <c r="D16" s="63">
        <f t="shared" si="10"/>
        <v>79.655488790198987</v>
      </c>
      <c r="E16" s="64">
        <f t="shared" si="12"/>
        <v>77.379253362491923</v>
      </c>
      <c r="F16" s="65">
        <f t="shared" si="11"/>
        <v>191.17317309647763</v>
      </c>
      <c r="G16" s="293">
        <f t="shared" si="2"/>
        <v>1415868.9656920568</v>
      </c>
      <c r="H16" s="42">
        <f t="shared" si="3"/>
        <v>63516.601323558469</v>
      </c>
      <c r="I16" s="42">
        <f t="shared" si="4"/>
        <v>1278505.118553245</v>
      </c>
      <c r="J16" s="5">
        <f t="shared" si="5"/>
        <v>179723.30524264497</v>
      </c>
      <c r="K16" s="16">
        <f t="shared" si="6"/>
        <v>2937613.9908115054</v>
      </c>
      <c r="L16" s="5">
        <f t="shared" si="7"/>
        <v>1493333.9927940723</v>
      </c>
      <c r="N16" s="6" t="s">
        <v>68</v>
      </c>
      <c r="O16" s="28"/>
      <c r="P16" s="28"/>
      <c r="Q16" s="28"/>
      <c r="R16" s="28"/>
      <c r="S16" s="28"/>
    </row>
    <row r="17" spans="1:19">
      <c r="B17" s="2">
        <f t="shared" si="8"/>
        <v>2031</v>
      </c>
      <c r="C17" s="62">
        <f t="shared" si="9"/>
        <v>26.462653879567657</v>
      </c>
      <c r="D17" s="63">
        <f t="shared" si="10"/>
        <v>80.446467793885674</v>
      </c>
      <c r="E17" s="64">
        <f t="shared" si="12"/>
        <v>78.147629348381471</v>
      </c>
      <c r="F17" s="65">
        <f t="shared" si="11"/>
        <v>193.07152270532566</v>
      </c>
      <c r="G17" s="293">
        <f t="shared" si="2"/>
        <v>1458527.1154118066</v>
      </c>
      <c r="H17" s="42">
        <f t="shared" si="3"/>
        <v>65430.267598195431</v>
      </c>
      <c r="I17" s="42">
        <f t="shared" si="4"/>
        <v>1317024.687868088</v>
      </c>
      <c r="J17" s="5">
        <f t="shared" si="5"/>
        <v>185138.11681697852</v>
      </c>
      <c r="K17" s="16">
        <f t="shared" si="6"/>
        <v>3026120.1876950688</v>
      </c>
      <c r="L17" s="5">
        <f t="shared" si="7"/>
        <v>1437687.9021769788</v>
      </c>
      <c r="N17" s="233"/>
      <c r="O17" s="234"/>
      <c r="P17" s="278" t="s">
        <v>66</v>
      </c>
      <c r="Q17" s="278" t="s">
        <v>75</v>
      </c>
      <c r="R17" s="278" t="s">
        <v>67</v>
      </c>
      <c r="S17" s="28"/>
    </row>
    <row r="18" spans="1:19">
      <c r="B18" s="2">
        <f t="shared" si="8"/>
        <v>2032</v>
      </c>
      <c r="C18" s="62">
        <f t="shared" si="9"/>
        <v>26.725428032591765</v>
      </c>
      <c r="D18" s="63">
        <f t="shared" si="10"/>
        <v>81.245301219078954</v>
      </c>
      <c r="E18" s="64">
        <f t="shared" si="12"/>
        <v>78.923635307810898</v>
      </c>
      <c r="F18" s="65">
        <f t="shared" si="11"/>
        <v>194.98872292578955</v>
      </c>
      <c r="G18" s="293">
        <f t="shared" si="2"/>
        <v>1502470.4954612027</v>
      </c>
      <c r="H18" s="42">
        <f t="shared" si="3"/>
        <v>67401.589958554425</v>
      </c>
      <c r="I18" s="42">
        <f t="shared" si="4"/>
        <v>1356704.7978789911</v>
      </c>
      <c r="J18" s="5">
        <f t="shared" si="5"/>
        <v>190716.06908331055</v>
      </c>
      <c r="K18" s="16">
        <f t="shared" si="6"/>
        <v>3117292.9523820588</v>
      </c>
      <c r="L18" s="5">
        <f t="shared" si="7"/>
        <v>1384115.3513144942</v>
      </c>
      <c r="N18" s="654" t="s">
        <v>277</v>
      </c>
      <c r="O18" s="655"/>
      <c r="P18" s="279">
        <f>SUM(P7:Q7)*Q11*Q12*Q13</f>
        <v>23.272703999999997</v>
      </c>
      <c r="Q18" s="279">
        <f>R18-P18</f>
        <v>68.727295999999996</v>
      </c>
      <c r="R18" s="279">
        <v>92</v>
      </c>
      <c r="S18" s="28"/>
    </row>
    <row r="19" spans="1:19" ht="15.75" thickBot="1">
      <c r="B19" s="2">
        <f t="shared" si="8"/>
        <v>2033</v>
      </c>
      <c r="C19" s="62">
        <f t="shared" si="9"/>
        <v>26.990811532955394</v>
      </c>
      <c r="D19" s="63">
        <f t="shared" si="10"/>
        <v>82.052067060184399</v>
      </c>
      <c r="E19" s="64">
        <f t="shared" si="12"/>
        <v>79.70734700641745</v>
      </c>
      <c r="F19" s="65">
        <f t="shared" si="11"/>
        <v>196.9249609444426</v>
      </c>
      <c r="G19" s="293">
        <f t="shared" si="2"/>
        <v>1547737.8280307548</v>
      </c>
      <c r="H19" s="42">
        <f t="shared" si="3"/>
        <v>69432.305501779716</v>
      </c>
      <c r="I19" s="42">
        <f t="shared" si="4"/>
        <v>1397580.4140523674</v>
      </c>
      <c r="J19" s="5">
        <f t="shared" si="5"/>
        <v>196462.07724229395</v>
      </c>
      <c r="K19" s="16">
        <f t="shared" si="6"/>
        <v>3211212.6248271959</v>
      </c>
      <c r="L19" s="5">
        <f t="shared" si="7"/>
        <v>1332539.073914119</v>
      </c>
      <c r="N19" s="656" t="s">
        <v>278</v>
      </c>
      <c r="O19" s="657"/>
      <c r="P19" s="280">
        <f>P7*Q11*Q12*Q13*1.93+P7*Q11*Q12*Q13*1.11</f>
        <v>70.749020159999986</v>
      </c>
      <c r="Q19" s="280">
        <f>R19-P19</f>
        <v>169.79764838400001</v>
      </c>
      <c r="R19" s="280">
        <f>(0.004+1.2*Q12)*Q11*P7*1.93+(0.004+1.2*Q12)*Q11*P7*1.11</f>
        <v>240.546668544</v>
      </c>
      <c r="S19" s="28"/>
    </row>
    <row r="20" spans="1:19" ht="15.75" thickTop="1">
      <c r="B20" s="2">
        <f t="shared" si="8"/>
        <v>2034</v>
      </c>
      <c r="C20" s="62">
        <f t="shared" si="9"/>
        <v>27.258830291477636</v>
      </c>
      <c r="D20" s="63">
        <f t="shared" si="10"/>
        <v>82.866844086092016</v>
      </c>
      <c r="E20" s="64">
        <f t="shared" si="12"/>
        <v>80.498840962191153</v>
      </c>
      <c r="F20" s="65">
        <f t="shared" si="11"/>
        <v>198.88042580662088</v>
      </c>
      <c r="G20" s="293">
        <f t="shared" si="2"/>
        <v>1594369.001956362</v>
      </c>
      <c r="H20" s="42">
        <f t="shared" si="3"/>
        <v>71524.203661320615</v>
      </c>
      <c r="I20" s="42">
        <f t="shared" si="4"/>
        <v>1439687.5553151853</v>
      </c>
      <c r="J20" s="5">
        <f t="shared" si="5"/>
        <v>202381.20458269608</v>
      </c>
      <c r="K20" s="16">
        <f t="shared" si="6"/>
        <v>3307961.9655155642</v>
      </c>
      <c r="L20" s="5">
        <f t="shared" si="7"/>
        <v>1282884.6828564934</v>
      </c>
      <c r="N20" s="644" t="s">
        <v>279</v>
      </c>
      <c r="O20" s="645"/>
      <c r="P20" s="281">
        <f>SUM(P18:P19)</f>
        <v>94.021724159999991</v>
      </c>
      <c r="Q20" s="281">
        <f>SUM(Q18:Q19)</f>
        <v>238.52494438400001</v>
      </c>
      <c r="R20" s="281">
        <f>SUM(R18:R19)</f>
        <v>332.546668544</v>
      </c>
      <c r="S20" s="28"/>
    </row>
    <row r="21" spans="1:19">
      <c r="B21" s="2">
        <f t="shared" si="8"/>
        <v>2035</v>
      </c>
      <c r="C21" s="62">
        <f t="shared" si="9"/>
        <v>27.529510476272012</v>
      </c>
      <c r="D21" s="63">
        <f t="shared" si="10"/>
        <v>83.689711847866903</v>
      </c>
      <c r="E21" s="64">
        <f t="shared" si="12"/>
        <v>81.298194452945708</v>
      </c>
      <c r="F21" s="65">
        <f t="shared" si="11"/>
        <v>200.85530843488064</v>
      </c>
      <c r="G21" s="293">
        <f t="shared" si="2"/>
        <v>1642405.1078687042</v>
      </c>
      <c r="H21" s="42">
        <f t="shared" si="3"/>
        <v>73679.127783751072</v>
      </c>
      <c r="I21" s="42">
        <f t="shared" si="4"/>
        <v>1483063.325794254</v>
      </c>
      <c r="J21" s="5">
        <f t="shared" si="5"/>
        <v>208478.66694308625</v>
      </c>
      <c r="K21" s="16">
        <f t="shared" si="6"/>
        <v>3407626.2283897959</v>
      </c>
      <c r="L21" s="5">
        <f t="shared" si="7"/>
        <v>1235080.562908788</v>
      </c>
      <c r="N21" s="68"/>
      <c r="O21" s="68"/>
      <c r="P21" s="66"/>
      <c r="Q21" s="66"/>
      <c r="R21" s="66"/>
      <c r="S21" s="28"/>
    </row>
    <row r="22" spans="1:19" ht="17.25">
      <c r="B22" s="2">
        <f t="shared" si="8"/>
        <v>2036</v>
      </c>
      <c r="C22" s="62">
        <f t="shared" si="9"/>
        <v>27.802878515301394</v>
      </c>
      <c r="D22" s="63">
        <f t="shared" si="10"/>
        <v>84.520750686516223</v>
      </c>
      <c r="E22" s="64">
        <f t="shared" si="12"/>
        <v>82.105485523863464</v>
      </c>
      <c r="F22" s="65">
        <f t="shared" si="11"/>
        <v>202.849801647639</v>
      </c>
      <c r="G22" s="293">
        <f t="shared" si="2"/>
        <v>1691888.4744016372</v>
      </c>
      <c r="H22" s="42">
        <f t="shared" si="3"/>
        <v>75898.976753096606</v>
      </c>
      <c r="I22" s="42">
        <f t="shared" si="4"/>
        <v>1527745.9475117791</v>
      </c>
      <c r="J22" s="5">
        <f t="shared" si="5"/>
        <v>214759.83730794775</v>
      </c>
      <c r="K22" s="16">
        <f t="shared" si="6"/>
        <v>3510293.2359744608</v>
      </c>
      <c r="L22" s="5">
        <f t="shared" si="7"/>
        <v>1189057.7674359269</v>
      </c>
      <c r="N22" s="6" t="s">
        <v>100</v>
      </c>
      <c r="O22" s="41"/>
      <c r="P22" s="67"/>
      <c r="Q22" s="67"/>
      <c r="R22" s="67"/>
      <c r="S22" s="28"/>
    </row>
    <row r="23" spans="1:19">
      <c r="B23" s="2">
        <f t="shared" si="8"/>
        <v>2037</v>
      </c>
      <c r="C23" s="62">
        <f t="shared" si="9"/>
        <v>28.078961098958331</v>
      </c>
      <c r="D23" s="63">
        <f t="shared" si="10"/>
        <v>85.36004174083331</v>
      </c>
      <c r="E23" s="64">
        <f t="shared" si="12"/>
        <v>82.92079299511542</v>
      </c>
      <c r="F23" s="65">
        <f t="shared" si="11"/>
        <v>204.864100178</v>
      </c>
      <c r="G23" s="293">
        <f t="shared" si="2"/>
        <v>1742862.7054914946</v>
      </c>
      <c r="H23" s="42">
        <f t="shared" si="3"/>
        <v>78185.70666409994</v>
      </c>
      <c r="I23" s="42">
        <f t="shared" si="4"/>
        <v>1573774.7940659823</v>
      </c>
      <c r="J23" s="5">
        <f t="shared" si="5"/>
        <v>221230.250542264</v>
      </c>
      <c r="K23" s="16">
        <f t="shared" si="6"/>
        <v>3616053.4567638407</v>
      </c>
      <c r="L23" s="5">
        <f t="shared" si="7"/>
        <v>1144749.9189606514</v>
      </c>
      <c r="N23" s="646" t="s">
        <v>80</v>
      </c>
      <c r="O23" s="646"/>
      <c r="P23" s="646"/>
      <c r="Q23" s="279">
        <v>260</v>
      </c>
      <c r="R23" s="66"/>
      <c r="S23" s="28"/>
    </row>
    <row r="24" spans="1:19">
      <c r="B24" s="2">
        <f t="shared" si="8"/>
        <v>2038</v>
      </c>
      <c r="C24" s="62">
        <f t="shared" si="9"/>
        <v>28.357785182670991</v>
      </c>
      <c r="D24" s="63">
        <f t="shared" si="10"/>
        <v>86.207666955319809</v>
      </c>
      <c r="E24" s="64">
        <f t="shared" si="12"/>
        <v>83.744196469556925</v>
      </c>
      <c r="F24" s="65">
        <f t="shared" si="11"/>
        <v>206.89840069276758</v>
      </c>
      <c r="G24" s="293">
        <f t="shared" si="2"/>
        <v>1795372.7188001657</v>
      </c>
      <c r="H24" s="42">
        <f t="shared" si="3"/>
        <v>80541.332545899946</v>
      </c>
      <c r="I24" s="42">
        <f t="shared" si="4"/>
        <v>1621190.4253264789</v>
      </c>
      <c r="J24" s="5">
        <f t="shared" si="5"/>
        <v>227895.60826875168</v>
      </c>
      <c r="K24" s="16">
        <f t="shared" si="6"/>
        <v>3725000.0849412964</v>
      </c>
      <c r="L24" s="5">
        <f t="shared" si="7"/>
        <v>1102093.1134290181</v>
      </c>
      <c r="N24" s="635" t="s">
        <v>81</v>
      </c>
      <c r="O24" s="635"/>
      <c r="P24" s="635"/>
      <c r="Q24" s="267">
        <v>2</v>
      </c>
      <c r="R24" s="28"/>
      <c r="S24" s="28"/>
    </row>
    <row r="25" spans="1:19">
      <c r="B25" s="2">
        <f t="shared" si="8"/>
        <v>2039</v>
      </c>
      <c r="C25" s="62">
        <f t="shared" si="9"/>
        <v>28.639377989534914</v>
      </c>
      <c r="D25" s="63">
        <f t="shared" si="10"/>
        <v>87.06370908818613</v>
      </c>
      <c r="E25" s="64">
        <f t="shared" si="12"/>
        <v>84.57577634049963</v>
      </c>
      <c r="F25" s="65">
        <f t="shared" si="11"/>
        <v>208.95290181164677</v>
      </c>
      <c r="G25" s="293">
        <f t="shared" si="2"/>
        <v>1849464.7852958085</v>
      </c>
      <c r="H25" s="42">
        <f t="shared" si="3"/>
        <v>82967.930137642354</v>
      </c>
      <c r="I25" s="42">
        <f t="shared" si="4"/>
        <v>1670034.6231749698</v>
      </c>
      <c r="J25" s="5">
        <f t="shared" si="5"/>
        <v>234761.78389203758</v>
      </c>
      <c r="K25" s="16">
        <f t="shared" si="6"/>
        <v>3837229.1225004578</v>
      </c>
      <c r="L25" s="5">
        <f t="shared" si="7"/>
        <v>1061025.828043248</v>
      </c>
      <c r="N25" s="647" t="s">
        <v>82</v>
      </c>
      <c r="O25" s="647"/>
      <c r="P25" s="647"/>
      <c r="Q25" s="282">
        <v>30</v>
      </c>
      <c r="R25" s="28"/>
      <c r="S25" s="28"/>
    </row>
    <row r="26" spans="1:19" ht="15.75" thickBot="1">
      <c r="B26" s="130">
        <f>+B25+1</f>
        <v>2040</v>
      </c>
      <c r="C26" s="311">
        <f t="shared" si="9"/>
        <v>28.923767012970998</v>
      </c>
      <c r="D26" s="63">
        <f t="shared" si="10"/>
        <v>87.928251719431827</v>
      </c>
      <c r="E26" s="64">
        <f t="shared" si="12"/>
        <v>85.415613799560802</v>
      </c>
      <c r="F26" s="65">
        <f t="shared" si="11"/>
        <v>211.02780412663645</v>
      </c>
      <c r="G26" s="293">
        <f t="shared" si="2"/>
        <v>1905186.5700260722</v>
      </c>
      <c r="H26" s="42">
        <f t="shared" si="3"/>
        <v>85467.637717587349</v>
      </c>
      <c r="I26" s="42">
        <f t="shared" si="4"/>
        <v>1720350.4283227599</v>
      </c>
      <c r="J26" s="5">
        <f t="shared" si="5"/>
        <v>241834.82777420722</v>
      </c>
      <c r="K26" s="147">
        <f t="shared" ref="K26" si="13">SUM(G26:J26)</f>
        <v>3952839.4638406266</v>
      </c>
      <c r="L26" s="5">
        <f t="shared" si="7"/>
        <v>1021488.8325290021</v>
      </c>
      <c r="N26" s="626" t="s">
        <v>313</v>
      </c>
      <c r="O26" s="659"/>
      <c r="P26" s="627"/>
      <c r="Q26" s="283">
        <f>15.2/60</f>
        <v>0.2533333333333333</v>
      </c>
      <c r="R26" s="28"/>
      <c r="S26" s="28"/>
    </row>
    <row r="27" spans="1:19" ht="15.75" thickBot="1">
      <c r="B27" s="4"/>
      <c r="C27" s="4"/>
      <c r="D27" s="597" t="s">
        <v>228</v>
      </c>
      <c r="E27" s="597"/>
      <c r="F27" s="597"/>
      <c r="G27" s="305">
        <f>SUM(G6:G26)</f>
        <v>30215880.58198205</v>
      </c>
      <c r="H27" s="305">
        <f t="shared" ref="H27:L27" si="14">SUM(H6:H26)</f>
        <v>1355499.758148822</v>
      </c>
      <c r="I27" s="305">
        <f t="shared" si="14"/>
        <v>27284416.087738235</v>
      </c>
      <c r="J27" s="305">
        <f t="shared" si="14"/>
        <v>3835452.3339358009</v>
      </c>
      <c r="K27" s="305">
        <f t="shared" si="14"/>
        <v>62691248.761804901</v>
      </c>
      <c r="L27" s="305">
        <f t="shared" si="14"/>
        <v>32195706.804372635</v>
      </c>
      <c r="N27" s="28"/>
      <c r="O27" s="28"/>
      <c r="P27" s="28"/>
      <c r="Q27" s="41"/>
      <c r="R27" s="28"/>
      <c r="S27" s="28"/>
    </row>
    <row r="28" spans="1:19" ht="17.25">
      <c r="C28" s="108"/>
      <c r="D28" s="658"/>
      <c r="E28" s="658"/>
      <c r="F28" s="658"/>
      <c r="G28" s="231"/>
      <c r="H28" s="231"/>
      <c r="I28" s="231"/>
      <c r="J28" s="231"/>
      <c r="K28" s="231"/>
      <c r="L28" s="231"/>
      <c r="M28" s="26"/>
      <c r="N28" s="6" t="s">
        <v>101</v>
      </c>
    </row>
    <row r="29" spans="1:19" ht="15" customHeight="1">
      <c r="B29" s="6"/>
      <c r="M29" s="26"/>
      <c r="N29" s="634" t="s">
        <v>83</v>
      </c>
      <c r="O29" s="634"/>
      <c r="P29" s="634"/>
      <c r="Q29" s="634"/>
      <c r="R29" s="284">
        <v>128</v>
      </c>
    </row>
    <row r="30" spans="1:19">
      <c r="A30" s="7" t="s">
        <v>24</v>
      </c>
      <c r="B30" s="535" t="s">
        <v>133</v>
      </c>
      <c r="C30" s="535"/>
      <c r="D30" s="535"/>
      <c r="E30" s="535"/>
      <c r="F30" s="535"/>
      <c r="G30" s="535"/>
      <c r="H30" s="535"/>
      <c r="I30" s="535"/>
      <c r="J30" s="535"/>
      <c r="K30" s="535"/>
      <c r="L30" s="535"/>
      <c r="M30" s="26"/>
      <c r="N30" s="634" t="s">
        <v>318</v>
      </c>
      <c r="O30" s="634"/>
      <c r="P30" s="634"/>
      <c r="Q30" s="634"/>
      <c r="R30" s="284">
        <f>R29*P41</f>
        <v>156.928</v>
      </c>
    </row>
    <row r="31" spans="1:19" ht="15" customHeight="1">
      <c r="B31" s="535"/>
      <c r="C31" s="535"/>
      <c r="D31" s="535"/>
      <c r="E31" s="535"/>
      <c r="F31" s="535"/>
      <c r="G31" s="535"/>
      <c r="H31" s="535"/>
      <c r="I31" s="535"/>
      <c r="J31" s="535"/>
      <c r="K31" s="535"/>
      <c r="L31" s="535"/>
      <c r="M31" s="26"/>
    </row>
    <row r="32" spans="1:19" ht="15" customHeigh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6" t="s">
        <v>102</v>
      </c>
    </row>
    <row r="33" spans="1:17">
      <c r="A33" s="7" t="s">
        <v>23</v>
      </c>
      <c r="B33" s="535" t="s">
        <v>167</v>
      </c>
      <c r="C33" s="535"/>
      <c r="D33" s="535"/>
      <c r="E33" s="535"/>
      <c r="F33" s="535"/>
      <c r="G33" s="535"/>
      <c r="H33" s="535"/>
      <c r="I33" s="535"/>
      <c r="J33" s="535"/>
      <c r="K33" s="535"/>
      <c r="L33" s="535"/>
      <c r="N33" s="634" t="s">
        <v>86</v>
      </c>
      <c r="O33" s="634"/>
      <c r="P33" s="634"/>
      <c r="Q33" s="359">
        <v>10</v>
      </c>
    </row>
    <row r="34" spans="1:17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N34" s="634" t="s">
        <v>317</v>
      </c>
      <c r="O34" s="634"/>
      <c r="P34" s="634"/>
      <c r="Q34" s="359">
        <f>Q33*P41</f>
        <v>12.26</v>
      </c>
    </row>
    <row r="35" spans="1:17">
      <c r="A35" s="7" t="s">
        <v>25</v>
      </c>
      <c r="B35" s="535" t="s">
        <v>132</v>
      </c>
      <c r="C35" s="535"/>
      <c r="D35" s="535"/>
      <c r="E35" s="535"/>
      <c r="F35" s="535"/>
      <c r="G35" s="535"/>
      <c r="H35" s="535"/>
      <c r="I35" s="535"/>
      <c r="J35" s="535"/>
      <c r="K35" s="535"/>
      <c r="L35" s="535"/>
      <c r="N35" s="634" t="s">
        <v>85</v>
      </c>
      <c r="O35" s="634"/>
      <c r="P35" s="634"/>
      <c r="Q35" s="285">
        <v>365</v>
      </c>
    </row>
    <row r="37" spans="1:17" ht="15" customHeight="1">
      <c r="A37" s="7" t="s">
        <v>27</v>
      </c>
      <c r="B37" s="535" t="s">
        <v>65</v>
      </c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N37" s="6" t="s">
        <v>103</v>
      </c>
    </row>
    <row r="38" spans="1:17">
      <c r="B38" s="535"/>
      <c r="C38" s="535"/>
      <c r="D38" s="535"/>
      <c r="E38" s="535"/>
      <c r="F38" s="535"/>
      <c r="G38" s="535"/>
      <c r="H38" s="535"/>
      <c r="I38" s="535"/>
      <c r="J38" s="535"/>
      <c r="K38" s="535"/>
      <c r="L38" s="535"/>
      <c r="N38" s="635" t="s">
        <v>316</v>
      </c>
      <c r="O38" s="635"/>
      <c r="P38" s="286">
        <v>0.41</v>
      </c>
      <c r="Q38" s="111"/>
    </row>
    <row r="39" spans="1:17">
      <c r="N39" s="662"/>
      <c r="O39" s="662"/>
      <c r="P39" s="233"/>
    </row>
    <row r="40" spans="1:17">
      <c r="A40" s="7" t="s">
        <v>64</v>
      </c>
      <c r="B40" s="642" t="s">
        <v>131</v>
      </c>
      <c r="C40" s="643"/>
      <c r="D40" s="643"/>
      <c r="E40" s="643"/>
      <c r="F40" s="643"/>
      <c r="G40" s="643"/>
      <c r="H40" s="643"/>
      <c r="I40" s="643"/>
      <c r="J40" s="643"/>
      <c r="K40" s="643"/>
      <c r="L40" s="643"/>
      <c r="N40" s="29" t="s">
        <v>88</v>
      </c>
      <c r="O40" s="31"/>
      <c r="P40" s="31"/>
    </row>
    <row r="41" spans="1:17">
      <c r="N41" s="660" t="s">
        <v>314</v>
      </c>
      <c r="O41" s="661"/>
      <c r="P41" s="287">
        <v>1.226</v>
      </c>
    </row>
    <row r="42" spans="1:17" ht="15" customHeight="1">
      <c r="A42" s="7" t="s">
        <v>69</v>
      </c>
      <c r="B42" s="535" t="s">
        <v>105</v>
      </c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N42" s="660" t="s">
        <v>315</v>
      </c>
      <c r="O42" s="661"/>
      <c r="P42" s="287">
        <v>1.0851999999999999</v>
      </c>
    </row>
    <row r="43" spans="1:17">
      <c r="B43" s="535"/>
      <c r="C43" s="535"/>
      <c r="D43" s="535"/>
      <c r="E43" s="535"/>
      <c r="F43" s="535"/>
      <c r="G43" s="535"/>
      <c r="H43" s="535"/>
      <c r="I43" s="535"/>
      <c r="J43" s="535"/>
      <c r="K43" s="535"/>
      <c r="L43" s="535"/>
    </row>
    <row r="44" spans="1:17">
      <c r="B44" s="535"/>
      <c r="C44" s="535"/>
      <c r="D44" s="535"/>
      <c r="E44" s="535"/>
      <c r="F44" s="535"/>
      <c r="G44" s="535"/>
      <c r="H44" s="535"/>
      <c r="I44" s="535"/>
      <c r="J44" s="535"/>
      <c r="K44" s="535"/>
      <c r="L44" s="535"/>
    </row>
    <row r="45" spans="1:17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O45" s="145"/>
    </row>
    <row r="46" spans="1:17" ht="15" customHeight="1">
      <c r="A46" s="7" t="s">
        <v>238</v>
      </c>
      <c r="B46" s="535" t="s">
        <v>336</v>
      </c>
      <c r="C46" s="535"/>
      <c r="D46" s="535"/>
      <c r="E46" s="535"/>
      <c r="F46" s="535"/>
      <c r="G46" s="535"/>
      <c r="H46" s="535"/>
      <c r="I46" s="535"/>
      <c r="J46" s="535"/>
      <c r="K46" s="535"/>
      <c r="L46" s="535"/>
      <c r="O46" s="145"/>
    </row>
    <row r="47" spans="1:17">
      <c r="B47" s="535"/>
      <c r="C47" s="535"/>
      <c r="D47" s="535"/>
      <c r="E47" s="535"/>
      <c r="F47" s="535"/>
      <c r="G47" s="535"/>
      <c r="H47" s="535"/>
      <c r="I47" s="535"/>
      <c r="J47" s="535"/>
      <c r="K47" s="535"/>
      <c r="L47" s="535"/>
    </row>
    <row r="48" spans="1:17">
      <c r="B48" s="535"/>
      <c r="C48" s="535"/>
      <c r="D48" s="535"/>
      <c r="E48" s="535"/>
      <c r="F48" s="535"/>
      <c r="G48" s="535"/>
      <c r="H48" s="535"/>
      <c r="I48" s="535"/>
      <c r="J48" s="535"/>
      <c r="K48" s="535"/>
      <c r="L48" s="535"/>
    </row>
    <row r="49" spans="18:18" ht="15.75">
      <c r="R49" s="163" t="s">
        <v>273</v>
      </c>
    </row>
  </sheetData>
  <mergeCells count="47">
    <mergeCell ref="U7:V7"/>
    <mergeCell ref="D28:F28"/>
    <mergeCell ref="D27:F27"/>
    <mergeCell ref="B42:L44"/>
    <mergeCell ref="B46:L48"/>
    <mergeCell ref="N26:P26"/>
    <mergeCell ref="N30:Q30"/>
    <mergeCell ref="B30:L31"/>
    <mergeCell ref="B33:L33"/>
    <mergeCell ref="B35:L35"/>
    <mergeCell ref="N41:O41"/>
    <mergeCell ref="N42:O42"/>
    <mergeCell ref="N39:O39"/>
    <mergeCell ref="N38:O38"/>
    <mergeCell ref="N34:P34"/>
    <mergeCell ref="N12:P12"/>
    <mergeCell ref="G3:J3"/>
    <mergeCell ref="B37:L38"/>
    <mergeCell ref="N14:P14"/>
    <mergeCell ref="B40:L40"/>
    <mergeCell ref="N20:O20"/>
    <mergeCell ref="N23:P23"/>
    <mergeCell ref="N24:P24"/>
    <mergeCell ref="N25:P25"/>
    <mergeCell ref="N29:Q29"/>
    <mergeCell ref="N6:O6"/>
    <mergeCell ref="P6:Q6"/>
    <mergeCell ref="N13:P13"/>
    <mergeCell ref="N33:P33"/>
    <mergeCell ref="N35:P35"/>
    <mergeCell ref="N18:O18"/>
    <mergeCell ref="N19:O19"/>
    <mergeCell ref="N10:P10"/>
    <mergeCell ref="N11:P11"/>
    <mergeCell ref="N7:O7"/>
    <mergeCell ref="P7:Q7"/>
    <mergeCell ref="B4:B5"/>
    <mergeCell ref="C4:C5"/>
    <mergeCell ref="E4:E5"/>
    <mergeCell ref="L4:L5"/>
    <mergeCell ref="D4:D5"/>
    <mergeCell ref="K4:K5"/>
    <mergeCell ref="F4:F5"/>
    <mergeCell ref="G4:G5"/>
    <mergeCell ref="H4:H5"/>
    <mergeCell ref="I4:I5"/>
    <mergeCell ref="J4:J5"/>
  </mergeCells>
  <pageMargins left="0.2" right="0.2" top="0.25" bottom="0.25" header="0.3" footer="0.3"/>
  <pageSetup paperSize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  <pageSetUpPr fitToPage="1"/>
  </sheetPr>
  <dimension ref="A1:W63"/>
  <sheetViews>
    <sheetView view="pageBreakPreview" zoomScale="70" zoomScaleNormal="100" zoomScaleSheetLayoutView="70" workbookViewId="0">
      <selection activeCell="D15" sqref="D15"/>
    </sheetView>
  </sheetViews>
  <sheetFormatPr defaultRowHeight="15"/>
  <cols>
    <col min="2" max="4" width="15.7109375" customWidth="1"/>
    <col min="5" max="5" width="15.7109375" style="210" customWidth="1"/>
    <col min="6" max="6" width="49.5703125" customWidth="1"/>
    <col min="7" max="8" width="15.7109375" customWidth="1"/>
    <col min="9" max="10" width="15.85546875" customWidth="1"/>
    <col min="11" max="11" width="15.7109375" customWidth="1"/>
    <col min="12" max="12" width="15.7109375" style="210" customWidth="1"/>
    <col min="13" max="13" width="15.7109375" customWidth="1"/>
    <col min="14" max="14" width="15.7109375" style="210" customWidth="1"/>
    <col min="15" max="15" width="15.7109375" customWidth="1"/>
    <col min="16" max="16" width="15.7109375" style="210" customWidth="1"/>
    <col min="17" max="19" width="15.7109375" customWidth="1"/>
    <col min="20" max="21" width="15.85546875" customWidth="1"/>
    <col min="22" max="22" width="14.7109375" customWidth="1"/>
  </cols>
  <sheetData>
    <row r="1" spans="1:23">
      <c r="A1" s="17"/>
    </row>
    <row r="2" spans="1:23">
      <c r="B2" s="6" t="s">
        <v>59</v>
      </c>
      <c r="K2" s="142"/>
      <c r="M2" s="142"/>
      <c r="O2" s="142"/>
      <c r="Q2" s="142"/>
      <c r="R2" s="142"/>
      <c r="S2" s="142"/>
      <c r="T2" s="142"/>
      <c r="U2" s="142"/>
      <c r="V2" s="142"/>
      <c r="W2" s="142"/>
    </row>
    <row r="3" spans="1:23" ht="15.75" thickBot="1">
      <c r="B3" s="6"/>
      <c r="F3" s="142"/>
      <c r="G3" s="142"/>
      <c r="H3" s="142"/>
    </row>
    <row r="4" spans="1:23" ht="15.75" customHeight="1" thickBot="1">
      <c r="C4" s="639" t="s">
        <v>303</v>
      </c>
      <c r="D4" s="641"/>
      <c r="E4" s="34"/>
      <c r="F4" s="6" t="s">
        <v>107</v>
      </c>
      <c r="G4" s="109"/>
      <c r="H4" s="109"/>
      <c r="I4" s="109"/>
    </row>
    <row r="5" spans="1:23" ht="30" customHeight="1">
      <c r="B5" s="586" t="s">
        <v>0</v>
      </c>
      <c r="C5" s="669" t="s">
        <v>58</v>
      </c>
      <c r="D5" s="595" t="s">
        <v>1</v>
      </c>
      <c r="E5" s="155"/>
      <c r="F5" s="6"/>
      <c r="G5" s="663" t="s">
        <v>309</v>
      </c>
      <c r="H5" s="663"/>
      <c r="I5" s="663" t="s">
        <v>310</v>
      </c>
      <c r="J5" s="663"/>
      <c r="K5" s="111"/>
      <c r="M5" s="111"/>
      <c r="N5"/>
      <c r="P5"/>
    </row>
    <row r="6" spans="1:23" ht="15.75" customHeight="1" thickBot="1">
      <c r="B6" s="587"/>
      <c r="C6" s="670"/>
      <c r="D6" s="596"/>
      <c r="E6" s="155"/>
      <c r="F6" s="9" t="s">
        <v>287</v>
      </c>
      <c r="G6" s="665">
        <v>2021</v>
      </c>
      <c r="H6" s="665"/>
      <c r="I6" s="665">
        <v>2021</v>
      </c>
      <c r="J6" s="665"/>
      <c r="N6"/>
      <c r="P6"/>
    </row>
    <row r="7" spans="1:23" ht="15.75" customHeight="1">
      <c r="B7" s="262">
        <v>2020</v>
      </c>
      <c r="C7" s="13">
        <f>G38</f>
        <v>0</v>
      </c>
      <c r="D7" s="5">
        <f>C7*(1+0.07)^-(B7-2020)</f>
        <v>0</v>
      </c>
      <c r="E7" s="10"/>
      <c r="F7" s="9" t="s">
        <v>280</v>
      </c>
      <c r="G7" s="665">
        <v>2021</v>
      </c>
      <c r="H7" s="665"/>
      <c r="I7" s="665">
        <v>2023</v>
      </c>
      <c r="J7" s="665"/>
      <c r="K7" s="210"/>
      <c r="N7"/>
      <c r="P7"/>
    </row>
    <row r="8" spans="1:23" ht="15.75" customHeight="1">
      <c r="B8" s="262">
        <v>2021</v>
      </c>
      <c r="C8" s="292">
        <f>H38</f>
        <v>71583.315885714284</v>
      </c>
      <c r="D8" s="5">
        <f t="shared" ref="D8:D27" si="0">C8*(1+0.07)^-(B8-2020)</f>
        <v>66900.29522029373</v>
      </c>
      <c r="E8" s="10"/>
      <c r="F8" s="9" t="s">
        <v>281</v>
      </c>
      <c r="G8" s="665">
        <v>2022</v>
      </c>
      <c r="H8" s="665"/>
      <c r="I8" s="665">
        <v>2023</v>
      </c>
      <c r="J8" s="665"/>
      <c r="K8" s="210"/>
      <c r="M8" s="210"/>
      <c r="O8" s="210"/>
      <c r="P8"/>
    </row>
    <row r="9" spans="1:23" ht="15.75" customHeight="1">
      <c r="B9" s="262">
        <v>2022</v>
      </c>
      <c r="C9" s="14">
        <f>I38</f>
        <v>3491400.990365535</v>
      </c>
      <c r="D9" s="5">
        <f t="shared" si="0"/>
        <v>3049524.8409167044</v>
      </c>
      <c r="E9" s="10"/>
      <c r="F9" s="9" t="s">
        <v>217</v>
      </c>
      <c r="G9" s="665">
        <v>2023</v>
      </c>
      <c r="H9" s="665"/>
      <c r="I9" s="665">
        <v>2024</v>
      </c>
      <c r="J9" s="665"/>
      <c r="K9" s="210"/>
      <c r="N9"/>
      <c r="P9"/>
    </row>
    <row r="10" spans="1:23" ht="15.75" customHeight="1">
      <c r="B10" s="262">
        <v>2023</v>
      </c>
      <c r="C10" s="292">
        <f>J38</f>
        <v>2550459.7138213948</v>
      </c>
      <c r="D10" s="5">
        <f t="shared" si="0"/>
        <v>2081934.8494880542</v>
      </c>
      <c r="E10" s="10"/>
      <c r="F10" s="9" t="s">
        <v>291</v>
      </c>
      <c r="G10" s="665">
        <v>2025</v>
      </c>
      <c r="H10" s="665"/>
      <c r="I10" s="665">
        <v>2027</v>
      </c>
      <c r="J10" s="665"/>
      <c r="M10" s="36"/>
      <c r="N10"/>
      <c r="P10"/>
    </row>
    <row r="11" spans="1:23" ht="15.75" customHeight="1">
      <c r="B11" s="262">
        <v>2024</v>
      </c>
      <c r="C11" s="14">
        <f>K38</f>
        <v>7013608.0165578239</v>
      </c>
      <c r="D11" s="5">
        <f t="shared" si="0"/>
        <v>5350647.9750101035</v>
      </c>
      <c r="E11" s="10"/>
      <c r="H11" s="210"/>
      <c r="J11" s="210"/>
      <c r="N11"/>
      <c r="P11"/>
    </row>
    <row r="12" spans="1:23" ht="15.75" customHeight="1">
      <c r="B12" s="262">
        <v>2025</v>
      </c>
      <c r="C12" s="14">
        <f>L38</f>
        <v>9987811.7153356224</v>
      </c>
      <c r="D12" s="5">
        <f t="shared" si="0"/>
        <v>7121171.7163193701</v>
      </c>
      <c r="E12" s="10"/>
      <c r="F12" s="6" t="s">
        <v>361</v>
      </c>
      <c r="G12" s="663" t="s">
        <v>341</v>
      </c>
      <c r="H12" s="663"/>
      <c r="I12" s="663" t="s">
        <v>342</v>
      </c>
      <c r="J12" s="663"/>
      <c r="K12" s="36"/>
      <c r="L12" s="36"/>
      <c r="M12" s="36"/>
      <c r="N12" s="36"/>
      <c r="P12"/>
    </row>
    <row r="13" spans="1:23" ht="15.75" customHeight="1">
      <c r="B13" s="262">
        <v>2026</v>
      </c>
      <c r="C13" s="292">
        <f>M38</f>
        <v>5961188.6045219097</v>
      </c>
      <c r="D13" s="5">
        <f t="shared" si="0"/>
        <v>3972191.6713267826</v>
      </c>
      <c r="E13" s="10"/>
      <c r="F13" s="9" t="s">
        <v>282</v>
      </c>
      <c r="G13" s="664">
        <v>25610</v>
      </c>
      <c r="H13" s="664"/>
      <c r="I13" s="664">
        <v>51220</v>
      </c>
      <c r="J13" s="664"/>
      <c r="N13" s="36"/>
      <c r="P13"/>
    </row>
    <row r="14" spans="1:23" ht="15.75" customHeight="1">
      <c r="B14" s="262">
        <v>2027</v>
      </c>
      <c r="C14" s="292">
        <f>N38</f>
        <v>47652.240168000004</v>
      </c>
      <c r="D14" s="5">
        <f t="shared" si="0"/>
        <v>29675.420264844546</v>
      </c>
      <c r="E14" s="10"/>
      <c r="F14" s="9" t="s">
        <v>285</v>
      </c>
      <c r="G14" s="664">
        <v>545470.46</v>
      </c>
      <c r="H14" s="664"/>
      <c r="I14" s="664">
        <v>1319797.01</v>
      </c>
      <c r="J14" s="664"/>
      <c r="K14" s="144"/>
      <c r="M14" s="144"/>
      <c r="N14" s="36"/>
      <c r="P14"/>
    </row>
    <row r="15" spans="1:23" ht="15.75" customHeight="1">
      <c r="B15" s="262">
        <v>2028</v>
      </c>
      <c r="C15" s="292">
        <v>0</v>
      </c>
      <c r="D15" s="5">
        <f t="shared" si="0"/>
        <v>0</v>
      </c>
      <c r="E15" s="10"/>
      <c r="F15" s="9" t="s">
        <v>283</v>
      </c>
      <c r="G15" s="664">
        <v>886919.87</v>
      </c>
      <c r="H15" s="664"/>
      <c r="I15" s="664">
        <v>73290.960000000006</v>
      </c>
      <c r="J15" s="664"/>
      <c r="K15" s="210"/>
      <c r="M15" s="210"/>
      <c r="N15" s="36"/>
      <c r="O15" s="210"/>
      <c r="Q15" s="210"/>
      <c r="R15" s="210"/>
      <c r="S15" s="210"/>
    </row>
    <row r="16" spans="1:23" ht="15.75" customHeight="1">
      <c r="B16" s="262">
        <v>2029</v>
      </c>
      <c r="C16" s="292">
        <v>0</v>
      </c>
      <c r="D16" s="5">
        <f t="shared" si="0"/>
        <v>0</v>
      </c>
      <c r="E16" s="10"/>
      <c r="H16" s="210"/>
      <c r="I16" s="111"/>
      <c r="J16" s="210"/>
      <c r="K16" s="36"/>
      <c r="L16" s="36"/>
      <c r="M16" s="36"/>
      <c r="N16" s="36"/>
      <c r="P16"/>
    </row>
    <row r="17" spans="1:22" ht="15.75" customHeight="1">
      <c r="B17" s="262">
        <v>2030</v>
      </c>
      <c r="C17" s="292">
        <v>0</v>
      </c>
      <c r="D17" s="5">
        <f t="shared" si="0"/>
        <v>0</v>
      </c>
      <c r="E17" s="10"/>
      <c r="F17" s="6" t="s">
        <v>362</v>
      </c>
      <c r="G17" s="663" t="s">
        <v>341</v>
      </c>
      <c r="H17" s="663"/>
      <c r="I17" s="663" t="s">
        <v>342</v>
      </c>
      <c r="J17" s="663"/>
      <c r="K17" s="36"/>
      <c r="L17" s="36"/>
      <c r="M17" s="36"/>
      <c r="N17"/>
      <c r="P17"/>
    </row>
    <row r="18" spans="1:22" ht="15.75" customHeight="1">
      <c r="B18" s="262">
        <v>2031</v>
      </c>
      <c r="C18" s="292">
        <v>0</v>
      </c>
      <c r="D18" s="5">
        <f t="shared" si="0"/>
        <v>0</v>
      </c>
      <c r="E18" s="10"/>
      <c r="F18" s="9" t="s">
        <v>148</v>
      </c>
      <c r="G18" s="664">
        <v>4247609.55</v>
      </c>
      <c r="H18" s="664"/>
      <c r="I18" s="664">
        <v>8267460.1500000004</v>
      </c>
      <c r="J18" s="664"/>
      <c r="K18" s="36"/>
      <c r="L18" s="36"/>
      <c r="M18" s="36"/>
      <c r="N18"/>
      <c r="P18"/>
    </row>
    <row r="19" spans="1:22" ht="15.75" customHeight="1">
      <c r="B19" s="262">
        <v>2032</v>
      </c>
      <c r="C19" s="292">
        <v>0</v>
      </c>
      <c r="D19" s="5">
        <f t="shared" si="0"/>
        <v>0</v>
      </c>
      <c r="E19" s="10"/>
      <c r="F19" s="9" t="s">
        <v>284</v>
      </c>
      <c r="G19" s="664">
        <v>1561867.64</v>
      </c>
      <c r="H19" s="664"/>
      <c r="I19" s="664">
        <v>2473300.14</v>
      </c>
      <c r="J19" s="664"/>
      <c r="K19" s="36"/>
      <c r="L19" s="36"/>
      <c r="M19" s="36"/>
      <c r="N19" s="113"/>
      <c r="P19"/>
    </row>
    <row r="20" spans="1:22" ht="15.75" customHeight="1">
      <c r="B20" s="262">
        <v>2033</v>
      </c>
      <c r="C20" s="292">
        <v>0</v>
      </c>
      <c r="D20" s="5">
        <f t="shared" si="0"/>
        <v>0</v>
      </c>
      <c r="E20" s="10"/>
      <c r="F20" s="9" t="s">
        <v>286</v>
      </c>
      <c r="G20" s="664">
        <v>1888162.81</v>
      </c>
      <c r="H20" s="664"/>
      <c r="I20" s="664">
        <v>3024534.85</v>
      </c>
      <c r="J20" s="664"/>
      <c r="K20" s="36"/>
      <c r="L20" s="36"/>
      <c r="M20" s="36"/>
      <c r="O20" s="210"/>
      <c r="P20"/>
    </row>
    <row r="21" spans="1:22" ht="15.75" customHeight="1">
      <c r="A21" s="7"/>
      <c r="B21" s="262">
        <v>2034</v>
      </c>
      <c r="C21" s="292">
        <v>0</v>
      </c>
      <c r="D21" s="5">
        <f t="shared" si="0"/>
        <v>0</v>
      </c>
      <c r="E21" s="10"/>
      <c r="F21" s="111"/>
      <c r="H21" s="210"/>
      <c r="J21" s="210"/>
      <c r="N21"/>
      <c r="P21"/>
    </row>
    <row r="22" spans="1:22" ht="15.75" customHeight="1">
      <c r="B22" s="262">
        <v>2035</v>
      </c>
      <c r="C22" s="292">
        <v>0</v>
      </c>
      <c r="D22" s="5">
        <f t="shared" si="0"/>
        <v>0</v>
      </c>
      <c r="E22" s="10"/>
      <c r="F22" s="6" t="s">
        <v>363</v>
      </c>
      <c r="G22" s="663" t="s">
        <v>341</v>
      </c>
      <c r="H22" s="663"/>
      <c r="I22" s="663" t="s">
        <v>342</v>
      </c>
      <c r="J22" s="663"/>
      <c r="K22" s="111"/>
      <c r="M22" s="111"/>
      <c r="N22"/>
      <c r="P22"/>
    </row>
    <row r="23" spans="1:22" ht="15.75" customHeight="1">
      <c r="B23" s="262">
        <v>2036</v>
      </c>
      <c r="C23" s="292">
        <v>0</v>
      </c>
      <c r="D23" s="5">
        <f t="shared" si="0"/>
        <v>0</v>
      </c>
      <c r="E23" s="10"/>
      <c r="F23" s="9" t="s">
        <v>149</v>
      </c>
      <c r="G23" s="664">
        <v>2103728.33</v>
      </c>
      <c r="H23" s="664"/>
      <c r="I23" s="664">
        <v>2654732.6</v>
      </c>
      <c r="J23" s="664"/>
      <c r="K23" s="113"/>
      <c r="M23" s="113"/>
      <c r="N23"/>
      <c r="P23"/>
    </row>
    <row r="24" spans="1:22" ht="15.75" customHeight="1">
      <c r="B24" s="262">
        <v>2037</v>
      </c>
      <c r="C24" s="292">
        <v>0</v>
      </c>
      <c r="D24" s="5">
        <f t="shared" si="0"/>
        <v>0</v>
      </c>
      <c r="E24" s="10"/>
      <c r="F24" s="28"/>
      <c r="G24" s="134"/>
      <c r="H24" s="133"/>
      <c r="I24" s="113"/>
      <c r="J24" s="210"/>
      <c r="K24" s="113"/>
      <c r="M24" s="113"/>
      <c r="N24"/>
      <c r="P24"/>
    </row>
    <row r="25" spans="1:22" ht="15.75" customHeight="1">
      <c r="B25" s="262">
        <v>2038</v>
      </c>
      <c r="C25" s="292">
        <v>0</v>
      </c>
      <c r="D25" s="5">
        <f t="shared" si="0"/>
        <v>0</v>
      </c>
      <c r="E25" s="10"/>
      <c r="F25" s="162" t="s">
        <v>171</v>
      </c>
      <c r="G25" s="674">
        <f>SUM(G13,G14,G15,G18,G19,G20,G23)</f>
        <v>11259368.66</v>
      </c>
      <c r="H25" s="674"/>
      <c r="I25" s="674">
        <v>17864335.719999999</v>
      </c>
      <c r="J25" s="674"/>
      <c r="K25" s="675">
        <v>29123705</v>
      </c>
      <c r="L25" s="675"/>
      <c r="M25" s="144"/>
      <c r="N25"/>
      <c r="P25"/>
    </row>
    <row r="26" spans="1:22" ht="15.75" customHeight="1">
      <c r="B26" s="262">
        <v>2039</v>
      </c>
      <c r="C26" s="292">
        <v>0</v>
      </c>
      <c r="D26" s="5">
        <f t="shared" si="0"/>
        <v>0</v>
      </c>
      <c r="E26" s="10"/>
      <c r="F26" s="28"/>
      <c r="G26" s="134"/>
      <c r="H26" s="134"/>
      <c r="I26" s="134"/>
      <c r="J26" s="133"/>
      <c r="K26" s="144"/>
      <c r="M26" s="144"/>
      <c r="O26" s="144"/>
    </row>
    <row r="27" spans="1:22" ht="15.75" customHeight="1" thickBot="1">
      <c r="B27" s="262">
        <v>2040</v>
      </c>
      <c r="C27" s="292">
        <v>0</v>
      </c>
      <c r="D27" s="5">
        <f t="shared" si="0"/>
        <v>0</v>
      </c>
      <c r="E27" s="10"/>
      <c r="F27" s="6" t="s">
        <v>340</v>
      </c>
      <c r="J27" s="36"/>
    </row>
    <row r="28" spans="1:22" ht="15.75" customHeight="1" thickBot="1">
      <c r="B28" s="296" t="s">
        <v>123</v>
      </c>
      <c r="C28" s="295">
        <f>SUM(C7:C27)</f>
        <v>29123704.596655998</v>
      </c>
      <c r="D28" s="294">
        <f>SUM(D7:D27)</f>
        <v>21672046.768546153</v>
      </c>
      <c r="E28" s="10"/>
      <c r="F28" s="666" t="s">
        <v>3</v>
      </c>
      <c r="G28" s="671">
        <v>2020</v>
      </c>
      <c r="H28" s="671">
        <v>2021</v>
      </c>
      <c r="I28" s="671">
        <v>2022</v>
      </c>
      <c r="J28" s="671">
        <v>2023</v>
      </c>
      <c r="K28" s="671">
        <v>2024</v>
      </c>
      <c r="L28" s="671">
        <v>2025</v>
      </c>
      <c r="M28" s="671">
        <v>2026</v>
      </c>
      <c r="N28" s="671">
        <v>2027</v>
      </c>
      <c r="O28" s="671" t="s">
        <v>288</v>
      </c>
      <c r="P28"/>
    </row>
    <row r="29" spans="1:22" ht="15.75" customHeight="1">
      <c r="B29" s="298"/>
      <c r="C29" s="231"/>
      <c r="D29" s="231"/>
      <c r="F29" s="667"/>
      <c r="G29" s="672"/>
      <c r="H29" s="672"/>
      <c r="I29" s="672"/>
      <c r="J29" s="672"/>
      <c r="K29" s="672"/>
      <c r="L29" s="672"/>
      <c r="M29" s="672"/>
      <c r="N29" s="672"/>
      <c r="O29" s="672"/>
      <c r="P29"/>
    </row>
    <row r="30" spans="1:22" ht="15.75" customHeight="1">
      <c r="B30" s="247"/>
      <c r="C30" s="247"/>
      <c r="D30" s="247"/>
      <c r="F30" s="668"/>
      <c r="G30" s="673"/>
      <c r="H30" s="673"/>
      <c r="I30" s="673"/>
      <c r="J30" s="673"/>
      <c r="K30" s="673"/>
      <c r="L30" s="673"/>
      <c r="M30" s="673"/>
      <c r="N30" s="673"/>
      <c r="O30" s="673"/>
      <c r="P30" s="111"/>
    </row>
    <row r="31" spans="1:22" s="111" customFormat="1" ht="15.75" customHeight="1">
      <c r="B31" s="247"/>
      <c r="C31" s="247"/>
      <c r="D31" s="247"/>
      <c r="E31" s="210"/>
      <c r="F31" s="9" t="s">
        <v>282</v>
      </c>
      <c r="G31" s="373">
        <v>0</v>
      </c>
      <c r="H31" s="373">
        <v>10975.714285714284</v>
      </c>
      <c r="I31" s="373">
        <v>21951.428571428569</v>
      </c>
      <c r="J31" s="373">
        <v>23092.902857142853</v>
      </c>
      <c r="K31" s="373">
        <v>20809.954285714284</v>
      </c>
      <c r="L31" s="373">
        <v>0</v>
      </c>
      <c r="M31" s="373">
        <v>0</v>
      </c>
      <c r="N31" s="373">
        <v>0</v>
      </c>
      <c r="O31" s="379">
        <f>SUM(G31:N31)</f>
        <v>76829.999999999985</v>
      </c>
      <c r="P31"/>
      <c r="R31"/>
      <c r="S31"/>
      <c r="T31"/>
      <c r="U31"/>
      <c r="V31"/>
    </row>
    <row r="32" spans="1:22" ht="15.75" customHeight="1">
      <c r="F32" s="9" t="s">
        <v>285</v>
      </c>
      <c r="G32" s="373">
        <v>0</v>
      </c>
      <c r="H32" s="373">
        <v>60607.601600000002</v>
      </c>
      <c r="I32" s="373">
        <v>484862.8616</v>
      </c>
      <c r="J32" s="373">
        <v>289569.40168000001</v>
      </c>
      <c r="K32" s="373">
        <v>791878.20504000003</v>
      </c>
      <c r="L32" s="373">
        <v>238349.40168000001</v>
      </c>
      <c r="M32" s="373">
        <v>0</v>
      </c>
      <c r="N32" s="373">
        <v>0</v>
      </c>
      <c r="O32" s="379">
        <f t="shared" ref="O32:O37" si="1">SUM(G32:N32)</f>
        <v>1865267.4716000003</v>
      </c>
      <c r="P32"/>
      <c r="R32" s="111"/>
      <c r="S32" s="111"/>
      <c r="T32" s="111"/>
      <c r="U32" s="111"/>
      <c r="V32" s="111"/>
    </row>
    <row r="33" spans="1:17" ht="15.75" customHeight="1">
      <c r="F33" s="9" t="s">
        <v>149</v>
      </c>
      <c r="G33" s="373">
        <v>0</v>
      </c>
      <c r="H33" s="373">
        <v>0</v>
      </c>
      <c r="I33" s="373">
        <v>2097666.8348821066</v>
      </c>
      <c r="J33" s="373">
        <v>0</v>
      </c>
      <c r="K33" s="373">
        <v>2660794.0931178937</v>
      </c>
      <c r="L33" s="373">
        <v>0</v>
      </c>
      <c r="M33" s="373">
        <v>0</v>
      </c>
      <c r="N33" s="373">
        <v>0</v>
      </c>
      <c r="O33" s="379">
        <f t="shared" si="1"/>
        <v>4758460.9280000003</v>
      </c>
      <c r="P33" s="36"/>
    </row>
    <row r="34" spans="1:17" ht="15.75" customHeight="1">
      <c r="E34" s="17"/>
      <c r="F34" s="9" t="s">
        <v>60</v>
      </c>
      <c r="G34" s="373">
        <v>0</v>
      </c>
      <c r="H34" s="373">
        <v>0</v>
      </c>
      <c r="I34" s="373">
        <v>886919.86531199992</v>
      </c>
      <c r="J34" s="373">
        <v>0</v>
      </c>
      <c r="K34" s="373">
        <v>73290.964343999993</v>
      </c>
      <c r="L34" s="373">
        <v>0</v>
      </c>
      <c r="M34" s="373">
        <v>0</v>
      </c>
      <c r="N34" s="373">
        <v>0</v>
      </c>
      <c r="O34" s="379">
        <f t="shared" si="1"/>
        <v>960210.8296559999</v>
      </c>
      <c r="P34"/>
    </row>
    <row r="35" spans="1:17" ht="15.75" customHeight="1">
      <c r="A35" s="77"/>
      <c r="E35" s="247"/>
      <c r="F35" s="9" t="s">
        <v>148</v>
      </c>
      <c r="G35" s="373">
        <v>0</v>
      </c>
      <c r="H35" s="373">
        <v>0</v>
      </c>
      <c r="I35" s="373">
        <v>0</v>
      </c>
      <c r="J35" s="373">
        <v>1327377.9884039997</v>
      </c>
      <c r="K35" s="373">
        <v>1592853.5840359998</v>
      </c>
      <c r="L35" s="373">
        <v>5640842.6398479994</v>
      </c>
      <c r="M35" s="373">
        <v>3953995.489912</v>
      </c>
      <c r="N35" s="373">
        <v>0</v>
      </c>
      <c r="O35" s="379">
        <f t="shared" si="1"/>
        <v>12515069.702199999</v>
      </c>
      <c r="P35"/>
    </row>
    <row r="36" spans="1:17" ht="15.75" customHeight="1">
      <c r="A36" s="78"/>
      <c r="E36" s="247"/>
      <c r="F36" s="9" t="s">
        <v>284</v>
      </c>
      <c r="G36" s="373">
        <v>0</v>
      </c>
      <c r="H36" s="373">
        <v>0</v>
      </c>
      <c r="I36" s="373">
        <v>0</v>
      </c>
      <c r="J36" s="373">
        <v>320368.54481625196</v>
      </c>
      <c r="K36" s="373">
        <v>1165920.1562622164</v>
      </c>
      <c r="L36" s="373">
        <v>1940547.982775622</v>
      </c>
      <c r="M36" s="373">
        <v>608331.31614590972</v>
      </c>
      <c r="N36" s="373">
        <v>0</v>
      </c>
      <c r="O36" s="379">
        <f t="shared" si="1"/>
        <v>4035168</v>
      </c>
      <c r="P36"/>
    </row>
    <row r="37" spans="1:17" ht="15.75" customHeight="1">
      <c r="A37" s="78"/>
      <c r="E37" s="193"/>
      <c r="F37" s="9" t="s">
        <v>276</v>
      </c>
      <c r="G37" s="373">
        <v>0</v>
      </c>
      <c r="H37" s="373">
        <v>0</v>
      </c>
      <c r="I37" s="373">
        <v>0</v>
      </c>
      <c r="J37" s="373">
        <v>590050.87606400007</v>
      </c>
      <c r="K37" s="373">
        <v>708061.05947200011</v>
      </c>
      <c r="L37" s="373">
        <v>2168071.6910319999</v>
      </c>
      <c r="M37" s="373">
        <v>1398861.7984640002</v>
      </c>
      <c r="N37" s="373">
        <v>47652.240168000004</v>
      </c>
      <c r="O37" s="379">
        <f t="shared" si="1"/>
        <v>4912697.6651999997</v>
      </c>
      <c r="P37" s="36"/>
      <c r="Q37" s="36"/>
    </row>
    <row r="38" spans="1:17" ht="15.75" customHeight="1">
      <c r="A38" s="77"/>
      <c r="E38" s="193"/>
      <c r="F38" s="8" t="s">
        <v>104</v>
      </c>
      <c r="G38" s="37">
        <f t="shared" ref="G38:O38" si="2">SUM(G31:G37)</f>
        <v>0</v>
      </c>
      <c r="H38" s="37">
        <f t="shared" si="2"/>
        <v>71583.315885714284</v>
      </c>
      <c r="I38" s="37">
        <f t="shared" si="2"/>
        <v>3491400.990365535</v>
      </c>
      <c r="J38" s="37">
        <f t="shared" si="2"/>
        <v>2550459.7138213948</v>
      </c>
      <c r="K38" s="37">
        <f t="shared" si="2"/>
        <v>7013608.0165578239</v>
      </c>
      <c r="L38" s="37">
        <f t="shared" si="2"/>
        <v>9987811.7153356224</v>
      </c>
      <c r="M38" s="37">
        <f t="shared" si="2"/>
        <v>5961188.6045219097</v>
      </c>
      <c r="N38" s="37">
        <f t="shared" si="2"/>
        <v>47652.240168000004</v>
      </c>
      <c r="O38" s="37">
        <f t="shared" si="2"/>
        <v>29123704.596655998</v>
      </c>
      <c r="P38" s="36"/>
    </row>
    <row r="39" spans="1:17" ht="15.75" customHeight="1">
      <c r="A39" s="78"/>
      <c r="E39" s="193"/>
      <c r="G39" s="676"/>
      <c r="H39" s="677"/>
      <c r="I39" s="677"/>
      <c r="J39" s="677"/>
      <c r="K39" s="677"/>
      <c r="M39" s="36"/>
      <c r="N39" s="36"/>
      <c r="O39" s="36"/>
      <c r="P39" s="36"/>
    </row>
    <row r="40" spans="1:17" ht="15.75" customHeight="1">
      <c r="A40" s="77"/>
      <c r="F40" s="247"/>
      <c r="G40" s="36"/>
      <c r="I40" s="36"/>
      <c r="K40" s="36"/>
      <c r="L40" s="372"/>
      <c r="O40" s="36"/>
      <c r="P40" s="372"/>
      <c r="Q40" s="36"/>
    </row>
    <row r="41" spans="1:17" ht="15.75" customHeight="1">
      <c r="A41" s="77"/>
      <c r="F41" s="247"/>
      <c r="K41" s="372"/>
      <c r="L41" s="372"/>
    </row>
    <row r="42" spans="1:17" ht="15.75" customHeight="1">
      <c r="A42" s="78"/>
      <c r="F42" s="142"/>
      <c r="G42" s="142"/>
      <c r="H42" s="142"/>
      <c r="I42" s="111"/>
      <c r="J42" s="111"/>
      <c r="K42" s="111"/>
      <c r="L42" s="372"/>
      <c r="O42" s="380" t="s">
        <v>274</v>
      </c>
    </row>
    <row r="43" spans="1:17" ht="15.75" customHeight="1">
      <c r="F43" s="210"/>
      <c r="L43"/>
      <c r="N43"/>
      <c r="P43"/>
    </row>
    <row r="44" spans="1:17" ht="15.75" customHeight="1">
      <c r="F44" s="210"/>
    </row>
    <row r="45" spans="1:17" ht="15.75" customHeight="1">
      <c r="F45" s="210"/>
    </row>
    <row r="46" spans="1:17" ht="15.75" customHeight="1">
      <c r="F46" s="210"/>
    </row>
    <row r="47" spans="1:17" ht="15.75" customHeight="1">
      <c r="A47" s="7"/>
      <c r="F47" s="163"/>
    </row>
    <row r="48" spans="1:17">
      <c r="F48" s="210"/>
    </row>
    <row r="49" spans="1:6">
      <c r="F49" s="210"/>
    </row>
    <row r="50" spans="1:6">
      <c r="F50" s="210"/>
    </row>
    <row r="51" spans="1:6">
      <c r="F51" s="210"/>
    </row>
    <row r="52" spans="1:6">
      <c r="F52" s="210"/>
    </row>
    <row r="53" spans="1:6">
      <c r="A53" s="7"/>
      <c r="F53" s="210"/>
    </row>
    <row r="54" spans="1:6">
      <c r="F54" s="210"/>
    </row>
    <row r="55" spans="1:6">
      <c r="F55" s="210"/>
    </row>
    <row r="57" spans="1:6" ht="15" customHeight="1"/>
    <row r="63" spans="1:6" ht="15" customHeight="1"/>
  </sheetData>
  <mergeCells count="50">
    <mergeCell ref="G39:K39"/>
    <mergeCell ref="B5:B6"/>
    <mergeCell ref="K28:K30"/>
    <mergeCell ref="M28:M30"/>
    <mergeCell ref="J28:J30"/>
    <mergeCell ref="H28:H30"/>
    <mergeCell ref="G5:H5"/>
    <mergeCell ref="G12:H12"/>
    <mergeCell ref="G17:H17"/>
    <mergeCell ref="G6:H6"/>
    <mergeCell ref="G7:H7"/>
    <mergeCell ref="G8:H8"/>
    <mergeCell ref="G9:H9"/>
    <mergeCell ref="G25:H25"/>
    <mergeCell ref="G22:H22"/>
    <mergeCell ref="I5:J5"/>
    <mergeCell ref="O28:O30"/>
    <mergeCell ref="L28:L30"/>
    <mergeCell ref="I28:I30"/>
    <mergeCell ref="I15:J15"/>
    <mergeCell ref="I17:J17"/>
    <mergeCell ref="I25:J25"/>
    <mergeCell ref="N28:N30"/>
    <mergeCell ref="K25:L25"/>
    <mergeCell ref="I18:J18"/>
    <mergeCell ref="I19:J19"/>
    <mergeCell ref="I20:J20"/>
    <mergeCell ref="I22:J22"/>
    <mergeCell ref="I23:J23"/>
    <mergeCell ref="C4:D4"/>
    <mergeCell ref="F28:F30"/>
    <mergeCell ref="C5:C6"/>
    <mergeCell ref="D5:D6"/>
    <mergeCell ref="G28:G30"/>
    <mergeCell ref="G10:H10"/>
    <mergeCell ref="G13:H13"/>
    <mergeCell ref="G14:H14"/>
    <mergeCell ref="G15:H15"/>
    <mergeCell ref="G18:H18"/>
    <mergeCell ref="G19:H19"/>
    <mergeCell ref="G20:H20"/>
    <mergeCell ref="G23:H23"/>
    <mergeCell ref="I12:J12"/>
    <mergeCell ref="I13:J13"/>
    <mergeCell ref="I14:J14"/>
    <mergeCell ref="I6:J6"/>
    <mergeCell ref="I7:J7"/>
    <mergeCell ref="I8:J8"/>
    <mergeCell ref="I9:J9"/>
    <mergeCell ref="I10:J10"/>
  </mergeCells>
  <pageMargins left="0.2" right="0.2" top="0.25" bottom="0.25" header="0.3" footer="0.3"/>
  <pageSetup paperSize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N55"/>
  <sheetViews>
    <sheetView view="pageBreakPreview" zoomScale="60" zoomScaleNormal="100" workbookViewId="0">
      <selection activeCell="A42" sqref="A42:XFD42"/>
    </sheetView>
  </sheetViews>
  <sheetFormatPr defaultColWidth="11.28515625" defaultRowHeight="12.75"/>
  <cols>
    <col min="1" max="1" width="15.7109375" style="120" customWidth="1"/>
    <col min="2" max="2" width="16.85546875" style="120" customWidth="1"/>
    <col min="3" max="10" width="11.28515625" style="120" customWidth="1"/>
    <col min="11" max="11" width="8.7109375" style="120" customWidth="1"/>
    <col min="12" max="12" width="11.28515625" style="120"/>
    <col min="13" max="13" width="12.28515625" style="120" customWidth="1"/>
    <col min="14" max="256" width="11.28515625" style="120"/>
    <col min="257" max="257" width="15.7109375" style="120" customWidth="1"/>
    <col min="258" max="258" width="16.85546875" style="120" customWidth="1"/>
    <col min="259" max="266" width="11.28515625" style="120" customWidth="1"/>
    <col min="267" max="267" width="8.7109375" style="120" customWidth="1"/>
    <col min="268" max="268" width="11.28515625" style="120"/>
    <col min="269" max="269" width="12.28515625" style="120" customWidth="1"/>
    <col min="270" max="512" width="11.28515625" style="120"/>
    <col min="513" max="513" width="15.7109375" style="120" customWidth="1"/>
    <col min="514" max="514" width="16.85546875" style="120" customWidth="1"/>
    <col min="515" max="522" width="11.28515625" style="120" customWidth="1"/>
    <col min="523" max="523" width="8.7109375" style="120" customWidth="1"/>
    <col min="524" max="524" width="11.28515625" style="120"/>
    <col min="525" max="525" width="12.28515625" style="120" customWidth="1"/>
    <col min="526" max="768" width="11.28515625" style="120"/>
    <col min="769" max="769" width="15.7109375" style="120" customWidth="1"/>
    <col min="770" max="770" width="16.85546875" style="120" customWidth="1"/>
    <col min="771" max="778" width="11.28515625" style="120" customWidth="1"/>
    <col min="779" max="779" width="8.7109375" style="120" customWidth="1"/>
    <col min="780" max="780" width="11.28515625" style="120"/>
    <col min="781" max="781" width="12.28515625" style="120" customWidth="1"/>
    <col min="782" max="1024" width="11.28515625" style="120"/>
    <col min="1025" max="1025" width="15.7109375" style="120" customWidth="1"/>
    <col min="1026" max="1026" width="16.85546875" style="120" customWidth="1"/>
    <col min="1027" max="1034" width="11.28515625" style="120" customWidth="1"/>
    <col min="1035" max="1035" width="8.7109375" style="120" customWidth="1"/>
    <col min="1036" max="1036" width="11.28515625" style="120"/>
    <col min="1037" max="1037" width="12.28515625" style="120" customWidth="1"/>
    <col min="1038" max="1280" width="11.28515625" style="120"/>
    <col min="1281" max="1281" width="15.7109375" style="120" customWidth="1"/>
    <col min="1282" max="1282" width="16.85546875" style="120" customWidth="1"/>
    <col min="1283" max="1290" width="11.28515625" style="120" customWidth="1"/>
    <col min="1291" max="1291" width="8.7109375" style="120" customWidth="1"/>
    <col min="1292" max="1292" width="11.28515625" style="120"/>
    <col min="1293" max="1293" width="12.28515625" style="120" customWidth="1"/>
    <col min="1294" max="1536" width="11.28515625" style="120"/>
    <col min="1537" max="1537" width="15.7109375" style="120" customWidth="1"/>
    <col min="1538" max="1538" width="16.85546875" style="120" customWidth="1"/>
    <col min="1539" max="1546" width="11.28515625" style="120" customWidth="1"/>
    <col min="1547" max="1547" width="8.7109375" style="120" customWidth="1"/>
    <col min="1548" max="1548" width="11.28515625" style="120"/>
    <col min="1549" max="1549" width="12.28515625" style="120" customWidth="1"/>
    <col min="1550" max="1792" width="11.28515625" style="120"/>
    <col min="1793" max="1793" width="15.7109375" style="120" customWidth="1"/>
    <col min="1794" max="1794" width="16.85546875" style="120" customWidth="1"/>
    <col min="1795" max="1802" width="11.28515625" style="120" customWidth="1"/>
    <col min="1803" max="1803" width="8.7109375" style="120" customWidth="1"/>
    <col min="1804" max="1804" width="11.28515625" style="120"/>
    <col min="1805" max="1805" width="12.28515625" style="120" customWidth="1"/>
    <col min="1806" max="2048" width="11.28515625" style="120"/>
    <col min="2049" max="2049" width="15.7109375" style="120" customWidth="1"/>
    <col min="2050" max="2050" width="16.85546875" style="120" customWidth="1"/>
    <col min="2051" max="2058" width="11.28515625" style="120" customWidth="1"/>
    <col min="2059" max="2059" width="8.7109375" style="120" customWidth="1"/>
    <col min="2060" max="2060" width="11.28515625" style="120"/>
    <col min="2061" max="2061" width="12.28515625" style="120" customWidth="1"/>
    <col min="2062" max="2304" width="11.28515625" style="120"/>
    <col min="2305" max="2305" width="15.7109375" style="120" customWidth="1"/>
    <col min="2306" max="2306" width="16.85546875" style="120" customWidth="1"/>
    <col min="2307" max="2314" width="11.28515625" style="120" customWidth="1"/>
    <col min="2315" max="2315" width="8.7109375" style="120" customWidth="1"/>
    <col min="2316" max="2316" width="11.28515625" style="120"/>
    <col min="2317" max="2317" width="12.28515625" style="120" customWidth="1"/>
    <col min="2318" max="2560" width="11.28515625" style="120"/>
    <col min="2561" max="2561" width="15.7109375" style="120" customWidth="1"/>
    <col min="2562" max="2562" width="16.85546875" style="120" customWidth="1"/>
    <col min="2563" max="2570" width="11.28515625" style="120" customWidth="1"/>
    <col min="2571" max="2571" width="8.7109375" style="120" customWidth="1"/>
    <col min="2572" max="2572" width="11.28515625" style="120"/>
    <col min="2573" max="2573" width="12.28515625" style="120" customWidth="1"/>
    <col min="2574" max="2816" width="11.28515625" style="120"/>
    <col min="2817" max="2817" width="15.7109375" style="120" customWidth="1"/>
    <col min="2818" max="2818" width="16.85546875" style="120" customWidth="1"/>
    <col min="2819" max="2826" width="11.28515625" style="120" customWidth="1"/>
    <col min="2827" max="2827" width="8.7109375" style="120" customWidth="1"/>
    <col min="2828" max="2828" width="11.28515625" style="120"/>
    <col min="2829" max="2829" width="12.28515625" style="120" customWidth="1"/>
    <col min="2830" max="3072" width="11.28515625" style="120"/>
    <col min="3073" max="3073" width="15.7109375" style="120" customWidth="1"/>
    <col min="3074" max="3074" width="16.85546875" style="120" customWidth="1"/>
    <col min="3075" max="3082" width="11.28515625" style="120" customWidth="1"/>
    <col min="3083" max="3083" width="8.7109375" style="120" customWidth="1"/>
    <col min="3084" max="3084" width="11.28515625" style="120"/>
    <col min="3085" max="3085" width="12.28515625" style="120" customWidth="1"/>
    <col min="3086" max="3328" width="11.28515625" style="120"/>
    <col min="3329" max="3329" width="15.7109375" style="120" customWidth="1"/>
    <col min="3330" max="3330" width="16.85546875" style="120" customWidth="1"/>
    <col min="3331" max="3338" width="11.28515625" style="120" customWidth="1"/>
    <col min="3339" max="3339" width="8.7109375" style="120" customWidth="1"/>
    <col min="3340" max="3340" width="11.28515625" style="120"/>
    <col min="3341" max="3341" width="12.28515625" style="120" customWidth="1"/>
    <col min="3342" max="3584" width="11.28515625" style="120"/>
    <col min="3585" max="3585" width="15.7109375" style="120" customWidth="1"/>
    <col min="3586" max="3586" width="16.85546875" style="120" customWidth="1"/>
    <col min="3587" max="3594" width="11.28515625" style="120" customWidth="1"/>
    <col min="3595" max="3595" width="8.7109375" style="120" customWidth="1"/>
    <col min="3596" max="3596" width="11.28515625" style="120"/>
    <col min="3597" max="3597" width="12.28515625" style="120" customWidth="1"/>
    <col min="3598" max="3840" width="11.28515625" style="120"/>
    <col min="3841" max="3841" width="15.7109375" style="120" customWidth="1"/>
    <col min="3842" max="3842" width="16.85546875" style="120" customWidth="1"/>
    <col min="3843" max="3850" width="11.28515625" style="120" customWidth="1"/>
    <col min="3851" max="3851" width="8.7109375" style="120" customWidth="1"/>
    <col min="3852" max="3852" width="11.28515625" style="120"/>
    <col min="3853" max="3853" width="12.28515625" style="120" customWidth="1"/>
    <col min="3854" max="4096" width="11.28515625" style="120"/>
    <col min="4097" max="4097" width="15.7109375" style="120" customWidth="1"/>
    <col min="4098" max="4098" width="16.85546875" style="120" customWidth="1"/>
    <col min="4099" max="4106" width="11.28515625" style="120" customWidth="1"/>
    <col min="4107" max="4107" width="8.7109375" style="120" customWidth="1"/>
    <col min="4108" max="4108" width="11.28515625" style="120"/>
    <col min="4109" max="4109" width="12.28515625" style="120" customWidth="1"/>
    <col min="4110" max="4352" width="11.28515625" style="120"/>
    <col min="4353" max="4353" width="15.7109375" style="120" customWidth="1"/>
    <col min="4354" max="4354" width="16.85546875" style="120" customWidth="1"/>
    <col min="4355" max="4362" width="11.28515625" style="120" customWidth="1"/>
    <col min="4363" max="4363" width="8.7109375" style="120" customWidth="1"/>
    <col min="4364" max="4364" width="11.28515625" style="120"/>
    <col min="4365" max="4365" width="12.28515625" style="120" customWidth="1"/>
    <col min="4366" max="4608" width="11.28515625" style="120"/>
    <col min="4609" max="4609" width="15.7109375" style="120" customWidth="1"/>
    <col min="4610" max="4610" width="16.85546875" style="120" customWidth="1"/>
    <col min="4611" max="4618" width="11.28515625" style="120" customWidth="1"/>
    <col min="4619" max="4619" width="8.7109375" style="120" customWidth="1"/>
    <col min="4620" max="4620" width="11.28515625" style="120"/>
    <col min="4621" max="4621" width="12.28515625" style="120" customWidth="1"/>
    <col min="4622" max="4864" width="11.28515625" style="120"/>
    <col min="4865" max="4865" width="15.7109375" style="120" customWidth="1"/>
    <col min="4866" max="4866" width="16.85546875" style="120" customWidth="1"/>
    <col min="4867" max="4874" width="11.28515625" style="120" customWidth="1"/>
    <col min="4875" max="4875" width="8.7109375" style="120" customWidth="1"/>
    <col min="4876" max="4876" width="11.28515625" style="120"/>
    <col min="4877" max="4877" width="12.28515625" style="120" customWidth="1"/>
    <col min="4878" max="5120" width="11.28515625" style="120"/>
    <col min="5121" max="5121" width="15.7109375" style="120" customWidth="1"/>
    <col min="5122" max="5122" width="16.85546875" style="120" customWidth="1"/>
    <col min="5123" max="5130" width="11.28515625" style="120" customWidth="1"/>
    <col min="5131" max="5131" width="8.7109375" style="120" customWidth="1"/>
    <col min="5132" max="5132" width="11.28515625" style="120"/>
    <col min="5133" max="5133" width="12.28515625" style="120" customWidth="1"/>
    <col min="5134" max="5376" width="11.28515625" style="120"/>
    <col min="5377" max="5377" width="15.7109375" style="120" customWidth="1"/>
    <col min="5378" max="5378" width="16.85546875" style="120" customWidth="1"/>
    <col min="5379" max="5386" width="11.28515625" style="120" customWidth="1"/>
    <col min="5387" max="5387" width="8.7109375" style="120" customWidth="1"/>
    <col min="5388" max="5388" width="11.28515625" style="120"/>
    <col min="5389" max="5389" width="12.28515625" style="120" customWidth="1"/>
    <col min="5390" max="5632" width="11.28515625" style="120"/>
    <col min="5633" max="5633" width="15.7109375" style="120" customWidth="1"/>
    <col min="5634" max="5634" width="16.85546875" style="120" customWidth="1"/>
    <col min="5635" max="5642" width="11.28515625" style="120" customWidth="1"/>
    <col min="5643" max="5643" width="8.7109375" style="120" customWidth="1"/>
    <col min="5644" max="5644" width="11.28515625" style="120"/>
    <col min="5645" max="5645" width="12.28515625" style="120" customWidth="1"/>
    <col min="5646" max="5888" width="11.28515625" style="120"/>
    <col min="5889" max="5889" width="15.7109375" style="120" customWidth="1"/>
    <col min="5890" max="5890" width="16.85546875" style="120" customWidth="1"/>
    <col min="5891" max="5898" width="11.28515625" style="120" customWidth="1"/>
    <col min="5899" max="5899" width="8.7109375" style="120" customWidth="1"/>
    <col min="5900" max="5900" width="11.28515625" style="120"/>
    <col min="5901" max="5901" width="12.28515625" style="120" customWidth="1"/>
    <col min="5902" max="6144" width="11.28515625" style="120"/>
    <col min="6145" max="6145" width="15.7109375" style="120" customWidth="1"/>
    <col min="6146" max="6146" width="16.85546875" style="120" customWidth="1"/>
    <col min="6147" max="6154" width="11.28515625" style="120" customWidth="1"/>
    <col min="6155" max="6155" width="8.7109375" style="120" customWidth="1"/>
    <col min="6156" max="6156" width="11.28515625" style="120"/>
    <col min="6157" max="6157" width="12.28515625" style="120" customWidth="1"/>
    <col min="6158" max="6400" width="11.28515625" style="120"/>
    <col min="6401" max="6401" width="15.7109375" style="120" customWidth="1"/>
    <col min="6402" max="6402" width="16.85546875" style="120" customWidth="1"/>
    <col min="6403" max="6410" width="11.28515625" style="120" customWidth="1"/>
    <col min="6411" max="6411" width="8.7109375" style="120" customWidth="1"/>
    <col min="6412" max="6412" width="11.28515625" style="120"/>
    <col min="6413" max="6413" width="12.28515625" style="120" customWidth="1"/>
    <col min="6414" max="6656" width="11.28515625" style="120"/>
    <col min="6657" max="6657" width="15.7109375" style="120" customWidth="1"/>
    <col min="6658" max="6658" width="16.85546875" style="120" customWidth="1"/>
    <col min="6659" max="6666" width="11.28515625" style="120" customWidth="1"/>
    <col min="6667" max="6667" width="8.7109375" style="120" customWidth="1"/>
    <col min="6668" max="6668" width="11.28515625" style="120"/>
    <col min="6669" max="6669" width="12.28515625" style="120" customWidth="1"/>
    <col min="6670" max="6912" width="11.28515625" style="120"/>
    <col min="6913" max="6913" width="15.7109375" style="120" customWidth="1"/>
    <col min="6914" max="6914" width="16.85546875" style="120" customWidth="1"/>
    <col min="6915" max="6922" width="11.28515625" style="120" customWidth="1"/>
    <col min="6923" max="6923" width="8.7109375" style="120" customWidth="1"/>
    <col min="6924" max="6924" width="11.28515625" style="120"/>
    <col min="6925" max="6925" width="12.28515625" style="120" customWidth="1"/>
    <col min="6926" max="7168" width="11.28515625" style="120"/>
    <col min="7169" max="7169" width="15.7109375" style="120" customWidth="1"/>
    <col min="7170" max="7170" width="16.85546875" style="120" customWidth="1"/>
    <col min="7171" max="7178" width="11.28515625" style="120" customWidth="1"/>
    <col min="7179" max="7179" width="8.7109375" style="120" customWidth="1"/>
    <col min="7180" max="7180" width="11.28515625" style="120"/>
    <col min="7181" max="7181" width="12.28515625" style="120" customWidth="1"/>
    <col min="7182" max="7424" width="11.28515625" style="120"/>
    <col min="7425" max="7425" width="15.7109375" style="120" customWidth="1"/>
    <col min="7426" max="7426" width="16.85546875" style="120" customWidth="1"/>
    <col min="7427" max="7434" width="11.28515625" style="120" customWidth="1"/>
    <col min="7435" max="7435" width="8.7109375" style="120" customWidth="1"/>
    <col min="7436" max="7436" width="11.28515625" style="120"/>
    <col min="7437" max="7437" width="12.28515625" style="120" customWidth="1"/>
    <col min="7438" max="7680" width="11.28515625" style="120"/>
    <col min="7681" max="7681" width="15.7109375" style="120" customWidth="1"/>
    <col min="7682" max="7682" width="16.85546875" style="120" customWidth="1"/>
    <col min="7683" max="7690" width="11.28515625" style="120" customWidth="1"/>
    <col min="7691" max="7691" width="8.7109375" style="120" customWidth="1"/>
    <col min="7692" max="7692" width="11.28515625" style="120"/>
    <col min="7693" max="7693" width="12.28515625" style="120" customWidth="1"/>
    <col min="7694" max="7936" width="11.28515625" style="120"/>
    <col min="7937" max="7937" width="15.7109375" style="120" customWidth="1"/>
    <col min="7938" max="7938" width="16.85546875" style="120" customWidth="1"/>
    <col min="7939" max="7946" width="11.28515625" style="120" customWidth="1"/>
    <col min="7947" max="7947" width="8.7109375" style="120" customWidth="1"/>
    <col min="7948" max="7948" width="11.28515625" style="120"/>
    <col min="7949" max="7949" width="12.28515625" style="120" customWidth="1"/>
    <col min="7950" max="8192" width="11.28515625" style="120"/>
    <col min="8193" max="8193" width="15.7109375" style="120" customWidth="1"/>
    <col min="8194" max="8194" width="16.85546875" style="120" customWidth="1"/>
    <col min="8195" max="8202" width="11.28515625" style="120" customWidth="1"/>
    <col min="8203" max="8203" width="8.7109375" style="120" customWidth="1"/>
    <col min="8204" max="8204" width="11.28515625" style="120"/>
    <col min="8205" max="8205" width="12.28515625" style="120" customWidth="1"/>
    <col min="8206" max="8448" width="11.28515625" style="120"/>
    <col min="8449" max="8449" width="15.7109375" style="120" customWidth="1"/>
    <col min="8450" max="8450" width="16.85546875" style="120" customWidth="1"/>
    <col min="8451" max="8458" width="11.28515625" style="120" customWidth="1"/>
    <col min="8459" max="8459" width="8.7109375" style="120" customWidth="1"/>
    <col min="8460" max="8460" width="11.28515625" style="120"/>
    <col min="8461" max="8461" width="12.28515625" style="120" customWidth="1"/>
    <col min="8462" max="8704" width="11.28515625" style="120"/>
    <col min="8705" max="8705" width="15.7109375" style="120" customWidth="1"/>
    <col min="8706" max="8706" width="16.85546875" style="120" customWidth="1"/>
    <col min="8707" max="8714" width="11.28515625" style="120" customWidth="1"/>
    <col min="8715" max="8715" width="8.7109375" style="120" customWidth="1"/>
    <col min="8716" max="8716" width="11.28515625" style="120"/>
    <col min="8717" max="8717" width="12.28515625" style="120" customWidth="1"/>
    <col min="8718" max="8960" width="11.28515625" style="120"/>
    <col min="8961" max="8961" width="15.7109375" style="120" customWidth="1"/>
    <col min="8962" max="8962" width="16.85546875" style="120" customWidth="1"/>
    <col min="8963" max="8970" width="11.28515625" style="120" customWidth="1"/>
    <col min="8971" max="8971" width="8.7109375" style="120" customWidth="1"/>
    <col min="8972" max="8972" width="11.28515625" style="120"/>
    <col min="8973" max="8973" width="12.28515625" style="120" customWidth="1"/>
    <col min="8974" max="9216" width="11.28515625" style="120"/>
    <col min="9217" max="9217" width="15.7109375" style="120" customWidth="1"/>
    <col min="9218" max="9218" width="16.85546875" style="120" customWidth="1"/>
    <col min="9219" max="9226" width="11.28515625" style="120" customWidth="1"/>
    <col min="9227" max="9227" width="8.7109375" style="120" customWidth="1"/>
    <col min="9228" max="9228" width="11.28515625" style="120"/>
    <col min="9229" max="9229" width="12.28515625" style="120" customWidth="1"/>
    <col min="9230" max="9472" width="11.28515625" style="120"/>
    <col min="9473" max="9473" width="15.7109375" style="120" customWidth="1"/>
    <col min="9474" max="9474" width="16.85546875" style="120" customWidth="1"/>
    <col min="9475" max="9482" width="11.28515625" style="120" customWidth="1"/>
    <col min="9483" max="9483" width="8.7109375" style="120" customWidth="1"/>
    <col min="9484" max="9484" width="11.28515625" style="120"/>
    <col min="9485" max="9485" width="12.28515625" style="120" customWidth="1"/>
    <col min="9486" max="9728" width="11.28515625" style="120"/>
    <col min="9729" max="9729" width="15.7109375" style="120" customWidth="1"/>
    <col min="9730" max="9730" width="16.85546875" style="120" customWidth="1"/>
    <col min="9731" max="9738" width="11.28515625" style="120" customWidth="1"/>
    <col min="9739" max="9739" width="8.7109375" style="120" customWidth="1"/>
    <col min="9740" max="9740" width="11.28515625" style="120"/>
    <col min="9741" max="9741" width="12.28515625" style="120" customWidth="1"/>
    <col min="9742" max="9984" width="11.28515625" style="120"/>
    <col min="9985" max="9985" width="15.7109375" style="120" customWidth="1"/>
    <col min="9986" max="9986" width="16.85546875" style="120" customWidth="1"/>
    <col min="9987" max="9994" width="11.28515625" style="120" customWidth="1"/>
    <col min="9995" max="9995" width="8.7109375" style="120" customWidth="1"/>
    <col min="9996" max="9996" width="11.28515625" style="120"/>
    <col min="9997" max="9997" width="12.28515625" style="120" customWidth="1"/>
    <col min="9998" max="10240" width="11.28515625" style="120"/>
    <col min="10241" max="10241" width="15.7109375" style="120" customWidth="1"/>
    <col min="10242" max="10242" width="16.85546875" style="120" customWidth="1"/>
    <col min="10243" max="10250" width="11.28515625" style="120" customWidth="1"/>
    <col min="10251" max="10251" width="8.7109375" style="120" customWidth="1"/>
    <col min="10252" max="10252" width="11.28515625" style="120"/>
    <col min="10253" max="10253" width="12.28515625" style="120" customWidth="1"/>
    <col min="10254" max="10496" width="11.28515625" style="120"/>
    <col min="10497" max="10497" width="15.7109375" style="120" customWidth="1"/>
    <col min="10498" max="10498" width="16.85546875" style="120" customWidth="1"/>
    <col min="10499" max="10506" width="11.28515625" style="120" customWidth="1"/>
    <col min="10507" max="10507" width="8.7109375" style="120" customWidth="1"/>
    <col min="10508" max="10508" width="11.28515625" style="120"/>
    <col min="10509" max="10509" width="12.28515625" style="120" customWidth="1"/>
    <col min="10510" max="10752" width="11.28515625" style="120"/>
    <col min="10753" max="10753" width="15.7109375" style="120" customWidth="1"/>
    <col min="10754" max="10754" width="16.85546875" style="120" customWidth="1"/>
    <col min="10755" max="10762" width="11.28515625" style="120" customWidth="1"/>
    <col min="10763" max="10763" width="8.7109375" style="120" customWidth="1"/>
    <col min="10764" max="10764" width="11.28515625" style="120"/>
    <col min="10765" max="10765" width="12.28515625" style="120" customWidth="1"/>
    <col min="10766" max="11008" width="11.28515625" style="120"/>
    <col min="11009" max="11009" width="15.7109375" style="120" customWidth="1"/>
    <col min="11010" max="11010" width="16.85546875" style="120" customWidth="1"/>
    <col min="11011" max="11018" width="11.28515625" style="120" customWidth="1"/>
    <col min="11019" max="11019" width="8.7109375" style="120" customWidth="1"/>
    <col min="11020" max="11020" width="11.28515625" style="120"/>
    <col min="11021" max="11021" width="12.28515625" style="120" customWidth="1"/>
    <col min="11022" max="11264" width="11.28515625" style="120"/>
    <col min="11265" max="11265" width="15.7109375" style="120" customWidth="1"/>
    <col min="11266" max="11266" width="16.85546875" style="120" customWidth="1"/>
    <col min="11267" max="11274" width="11.28515625" style="120" customWidth="1"/>
    <col min="11275" max="11275" width="8.7109375" style="120" customWidth="1"/>
    <col min="11276" max="11276" width="11.28515625" style="120"/>
    <col min="11277" max="11277" width="12.28515625" style="120" customWidth="1"/>
    <col min="11278" max="11520" width="11.28515625" style="120"/>
    <col min="11521" max="11521" width="15.7109375" style="120" customWidth="1"/>
    <col min="11522" max="11522" width="16.85546875" style="120" customWidth="1"/>
    <col min="11523" max="11530" width="11.28515625" style="120" customWidth="1"/>
    <col min="11531" max="11531" width="8.7109375" style="120" customWidth="1"/>
    <col min="11532" max="11532" width="11.28515625" style="120"/>
    <col min="11533" max="11533" width="12.28515625" style="120" customWidth="1"/>
    <col min="11534" max="11776" width="11.28515625" style="120"/>
    <col min="11777" max="11777" width="15.7109375" style="120" customWidth="1"/>
    <col min="11778" max="11778" width="16.85546875" style="120" customWidth="1"/>
    <col min="11779" max="11786" width="11.28515625" style="120" customWidth="1"/>
    <col min="11787" max="11787" width="8.7109375" style="120" customWidth="1"/>
    <col min="11788" max="11788" width="11.28515625" style="120"/>
    <col min="11789" max="11789" width="12.28515625" style="120" customWidth="1"/>
    <col min="11790" max="12032" width="11.28515625" style="120"/>
    <col min="12033" max="12033" width="15.7109375" style="120" customWidth="1"/>
    <col min="12034" max="12034" width="16.85546875" style="120" customWidth="1"/>
    <col min="12035" max="12042" width="11.28515625" style="120" customWidth="1"/>
    <col min="12043" max="12043" width="8.7109375" style="120" customWidth="1"/>
    <col min="12044" max="12044" width="11.28515625" style="120"/>
    <col min="12045" max="12045" width="12.28515625" style="120" customWidth="1"/>
    <col min="12046" max="12288" width="11.28515625" style="120"/>
    <col min="12289" max="12289" width="15.7109375" style="120" customWidth="1"/>
    <col min="12290" max="12290" width="16.85546875" style="120" customWidth="1"/>
    <col min="12291" max="12298" width="11.28515625" style="120" customWidth="1"/>
    <col min="12299" max="12299" width="8.7109375" style="120" customWidth="1"/>
    <col min="12300" max="12300" width="11.28515625" style="120"/>
    <col min="12301" max="12301" width="12.28515625" style="120" customWidth="1"/>
    <col min="12302" max="12544" width="11.28515625" style="120"/>
    <col min="12545" max="12545" width="15.7109375" style="120" customWidth="1"/>
    <col min="12546" max="12546" width="16.85546875" style="120" customWidth="1"/>
    <col min="12547" max="12554" width="11.28515625" style="120" customWidth="1"/>
    <col min="12555" max="12555" width="8.7109375" style="120" customWidth="1"/>
    <col min="12556" max="12556" width="11.28515625" style="120"/>
    <col min="12557" max="12557" width="12.28515625" style="120" customWidth="1"/>
    <col min="12558" max="12800" width="11.28515625" style="120"/>
    <col min="12801" max="12801" width="15.7109375" style="120" customWidth="1"/>
    <col min="12802" max="12802" width="16.85546875" style="120" customWidth="1"/>
    <col min="12803" max="12810" width="11.28515625" style="120" customWidth="1"/>
    <col min="12811" max="12811" width="8.7109375" style="120" customWidth="1"/>
    <col min="12812" max="12812" width="11.28515625" style="120"/>
    <col min="12813" max="12813" width="12.28515625" style="120" customWidth="1"/>
    <col min="12814" max="13056" width="11.28515625" style="120"/>
    <col min="13057" max="13057" width="15.7109375" style="120" customWidth="1"/>
    <col min="13058" max="13058" width="16.85546875" style="120" customWidth="1"/>
    <col min="13059" max="13066" width="11.28515625" style="120" customWidth="1"/>
    <col min="13067" max="13067" width="8.7109375" style="120" customWidth="1"/>
    <col min="13068" max="13068" width="11.28515625" style="120"/>
    <col min="13069" max="13069" width="12.28515625" style="120" customWidth="1"/>
    <col min="13070" max="13312" width="11.28515625" style="120"/>
    <col min="13313" max="13313" width="15.7109375" style="120" customWidth="1"/>
    <col min="13314" max="13314" width="16.85546875" style="120" customWidth="1"/>
    <col min="13315" max="13322" width="11.28515625" style="120" customWidth="1"/>
    <col min="13323" max="13323" width="8.7109375" style="120" customWidth="1"/>
    <col min="13324" max="13324" width="11.28515625" style="120"/>
    <col min="13325" max="13325" width="12.28515625" style="120" customWidth="1"/>
    <col min="13326" max="13568" width="11.28515625" style="120"/>
    <col min="13569" max="13569" width="15.7109375" style="120" customWidth="1"/>
    <col min="13570" max="13570" width="16.85546875" style="120" customWidth="1"/>
    <col min="13571" max="13578" width="11.28515625" style="120" customWidth="1"/>
    <col min="13579" max="13579" width="8.7109375" style="120" customWidth="1"/>
    <col min="13580" max="13580" width="11.28515625" style="120"/>
    <col min="13581" max="13581" width="12.28515625" style="120" customWidth="1"/>
    <col min="13582" max="13824" width="11.28515625" style="120"/>
    <col min="13825" max="13825" width="15.7109375" style="120" customWidth="1"/>
    <col min="13826" max="13826" width="16.85546875" style="120" customWidth="1"/>
    <col min="13827" max="13834" width="11.28515625" style="120" customWidth="1"/>
    <col min="13835" max="13835" width="8.7109375" style="120" customWidth="1"/>
    <col min="13836" max="13836" width="11.28515625" style="120"/>
    <col min="13837" max="13837" width="12.28515625" style="120" customWidth="1"/>
    <col min="13838" max="14080" width="11.28515625" style="120"/>
    <col min="14081" max="14081" width="15.7109375" style="120" customWidth="1"/>
    <col min="14082" max="14082" width="16.85546875" style="120" customWidth="1"/>
    <col min="14083" max="14090" width="11.28515625" style="120" customWidth="1"/>
    <col min="14091" max="14091" width="8.7109375" style="120" customWidth="1"/>
    <col min="14092" max="14092" width="11.28515625" style="120"/>
    <col min="14093" max="14093" width="12.28515625" style="120" customWidth="1"/>
    <col min="14094" max="14336" width="11.28515625" style="120"/>
    <col min="14337" max="14337" width="15.7109375" style="120" customWidth="1"/>
    <col min="14338" max="14338" width="16.85546875" style="120" customWidth="1"/>
    <col min="14339" max="14346" width="11.28515625" style="120" customWidth="1"/>
    <col min="14347" max="14347" width="8.7109375" style="120" customWidth="1"/>
    <col min="14348" max="14348" width="11.28515625" style="120"/>
    <col min="14349" max="14349" width="12.28515625" style="120" customWidth="1"/>
    <col min="14350" max="14592" width="11.28515625" style="120"/>
    <col min="14593" max="14593" width="15.7109375" style="120" customWidth="1"/>
    <col min="14594" max="14594" width="16.85546875" style="120" customWidth="1"/>
    <col min="14595" max="14602" width="11.28515625" style="120" customWidth="1"/>
    <col min="14603" max="14603" width="8.7109375" style="120" customWidth="1"/>
    <col min="14604" max="14604" width="11.28515625" style="120"/>
    <col min="14605" max="14605" width="12.28515625" style="120" customWidth="1"/>
    <col min="14606" max="14848" width="11.28515625" style="120"/>
    <col min="14849" max="14849" width="15.7109375" style="120" customWidth="1"/>
    <col min="14850" max="14850" width="16.85546875" style="120" customWidth="1"/>
    <col min="14851" max="14858" width="11.28515625" style="120" customWidth="1"/>
    <col min="14859" max="14859" width="8.7109375" style="120" customWidth="1"/>
    <col min="14860" max="14860" width="11.28515625" style="120"/>
    <col min="14861" max="14861" width="12.28515625" style="120" customWidth="1"/>
    <col min="14862" max="15104" width="11.28515625" style="120"/>
    <col min="15105" max="15105" width="15.7109375" style="120" customWidth="1"/>
    <col min="15106" max="15106" width="16.85546875" style="120" customWidth="1"/>
    <col min="15107" max="15114" width="11.28515625" style="120" customWidth="1"/>
    <col min="15115" max="15115" width="8.7109375" style="120" customWidth="1"/>
    <col min="15116" max="15116" width="11.28515625" style="120"/>
    <col min="15117" max="15117" width="12.28515625" style="120" customWidth="1"/>
    <col min="15118" max="15360" width="11.28515625" style="120"/>
    <col min="15361" max="15361" width="15.7109375" style="120" customWidth="1"/>
    <col min="15362" max="15362" width="16.85546875" style="120" customWidth="1"/>
    <col min="15363" max="15370" width="11.28515625" style="120" customWidth="1"/>
    <col min="15371" max="15371" width="8.7109375" style="120" customWidth="1"/>
    <col min="15372" max="15372" width="11.28515625" style="120"/>
    <col min="15373" max="15373" width="12.28515625" style="120" customWidth="1"/>
    <col min="15374" max="15616" width="11.28515625" style="120"/>
    <col min="15617" max="15617" width="15.7109375" style="120" customWidth="1"/>
    <col min="15618" max="15618" width="16.85546875" style="120" customWidth="1"/>
    <col min="15619" max="15626" width="11.28515625" style="120" customWidth="1"/>
    <col min="15627" max="15627" width="8.7109375" style="120" customWidth="1"/>
    <col min="15628" max="15628" width="11.28515625" style="120"/>
    <col min="15629" max="15629" width="12.28515625" style="120" customWidth="1"/>
    <col min="15630" max="15872" width="11.28515625" style="120"/>
    <col min="15873" max="15873" width="15.7109375" style="120" customWidth="1"/>
    <col min="15874" max="15874" width="16.85546875" style="120" customWidth="1"/>
    <col min="15875" max="15882" width="11.28515625" style="120" customWidth="1"/>
    <col min="15883" max="15883" width="8.7109375" style="120" customWidth="1"/>
    <col min="15884" max="15884" width="11.28515625" style="120"/>
    <col min="15885" max="15885" width="12.28515625" style="120" customWidth="1"/>
    <col min="15886" max="16128" width="11.28515625" style="120"/>
    <col min="16129" max="16129" width="15.7109375" style="120" customWidth="1"/>
    <col min="16130" max="16130" width="16.85546875" style="120" customWidth="1"/>
    <col min="16131" max="16138" width="11.28515625" style="120" customWidth="1"/>
    <col min="16139" max="16139" width="8.7109375" style="120" customWidth="1"/>
    <col min="16140" max="16140" width="11.28515625" style="120"/>
    <col min="16141" max="16141" width="12.28515625" style="120" customWidth="1"/>
    <col min="16142" max="16384" width="11.28515625" style="120"/>
  </cols>
  <sheetData>
    <row r="1" spans="1:14" ht="14.25" customHeight="1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4" ht="14.25" customHeight="1">
      <c r="A2" s="169" t="s">
        <v>168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4" ht="14.25" customHeight="1">
      <c r="A3" s="168" t="s">
        <v>17</v>
      </c>
      <c r="B3" s="168" t="s">
        <v>113</v>
      </c>
      <c r="C3" s="168" t="s">
        <v>114</v>
      </c>
      <c r="D3" s="168" t="s">
        <v>115</v>
      </c>
      <c r="E3" s="168" t="s">
        <v>116</v>
      </c>
      <c r="F3" s="168" t="s">
        <v>117</v>
      </c>
      <c r="G3" s="168" t="s">
        <v>118</v>
      </c>
      <c r="H3" s="168" t="s">
        <v>119</v>
      </c>
      <c r="I3" s="168" t="s">
        <v>120</v>
      </c>
      <c r="J3" s="168" t="s">
        <v>121</v>
      </c>
      <c r="K3" s="168" t="s">
        <v>122</v>
      </c>
      <c r="L3" s="168" t="s">
        <v>123</v>
      </c>
      <c r="M3" s="168" t="s">
        <v>124</v>
      </c>
    </row>
    <row r="4" spans="1:14" ht="14.25" customHeight="1">
      <c r="A4" s="170">
        <v>1900</v>
      </c>
      <c r="B4" s="170" t="s">
        <v>125</v>
      </c>
      <c r="C4" s="168">
        <v>290</v>
      </c>
      <c r="D4" s="168">
        <v>445</v>
      </c>
      <c r="E4" s="168">
        <v>0</v>
      </c>
      <c r="F4" s="168">
        <v>3314</v>
      </c>
      <c r="G4" s="168"/>
      <c r="H4" s="168">
        <v>0</v>
      </c>
      <c r="I4" s="168">
        <v>200</v>
      </c>
      <c r="J4" s="168">
        <f t="shared" ref="J4:J35" si="0">C4+D4+E4+F4+H4+I4</f>
        <v>4249</v>
      </c>
      <c r="K4" s="168">
        <f>L4-J4</f>
        <v>18576</v>
      </c>
      <c r="L4" s="168">
        <v>22825</v>
      </c>
      <c r="M4" s="171">
        <f>(K4/L4)*100</f>
        <v>81.384446878422779</v>
      </c>
    </row>
    <row r="5" spans="1:14" ht="14.25" customHeight="1">
      <c r="A5" s="170">
        <v>1910</v>
      </c>
      <c r="B5" s="170" t="s">
        <v>125</v>
      </c>
      <c r="C5" s="168">
        <v>499</v>
      </c>
      <c r="D5" s="168">
        <v>609</v>
      </c>
      <c r="E5" s="168">
        <v>120</v>
      </c>
      <c r="F5" s="168">
        <v>6392</v>
      </c>
      <c r="G5" s="168"/>
      <c r="H5" s="168">
        <v>239</v>
      </c>
      <c r="I5" s="168">
        <v>328</v>
      </c>
      <c r="J5" s="168">
        <f t="shared" si="0"/>
        <v>8187</v>
      </c>
      <c r="K5" s="168">
        <f t="shared" ref="K5:K38" si="1">L5-J5</f>
        <v>20546</v>
      </c>
      <c r="L5" s="168">
        <v>28733</v>
      </c>
      <c r="M5" s="171">
        <f t="shared" ref="M5:M38" si="2">(K5/L5)*100</f>
        <v>71.506630007308672</v>
      </c>
    </row>
    <row r="6" spans="1:14" ht="14.25" customHeight="1">
      <c r="A6" s="170">
        <v>1920</v>
      </c>
      <c r="B6" s="170" t="s">
        <v>125</v>
      </c>
      <c r="C6" s="168">
        <v>602</v>
      </c>
      <c r="D6" s="168">
        <v>630</v>
      </c>
      <c r="E6" s="168">
        <v>192</v>
      </c>
      <c r="F6" s="168">
        <v>7855</v>
      </c>
      <c r="G6" s="168"/>
      <c r="H6" s="168">
        <v>324</v>
      </c>
      <c r="I6" s="168">
        <v>361</v>
      </c>
      <c r="J6" s="168">
        <f t="shared" si="0"/>
        <v>9964</v>
      </c>
      <c r="K6" s="168">
        <f t="shared" si="1"/>
        <v>20877</v>
      </c>
      <c r="L6" s="168">
        <v>30841</v>
      </c>
      <c r="M6" s="171">
        <f t="shared" si="2"/>
        <v>67.692357575954091</v>
      </c>
    </row>
    <row r="7" spans="1:14" ht="14.25" customHeight="1">
      <c r="A7" s="170">
        <v>1930</v>
      </c>
      <c r="B7" s="170" t="s">
        <v>125</v>
      </c>
      <c r="C7" s="168">
        <v>806</v>
      </c>
      <c r="D7" s="168">
        <v>684</v>
      </c>
      <c r="E7" s="168">
        <v>396</v>
      </c>
      <c r="F7" s="168">
        <v>14635</v>
      </c>
      <c r="G7" s="168"/>
      <c r="H7" s="168">
        <v>344</v>
      </c>
      <c r="I7" s="168">
        <v>536</v>
      </c>
      <c r="J7" s="168">
        <f t="shared" si="0"/>
        <v>17401</v>
      </c>
      <c r="K7" s="168">
        <f t="shared" si="1"/>
        <v>21426</v>
      </c>
      <c r="L7" s="168">
        <v>38827</v>
      </c>
      <c r="M7" s="171">
        <f t="shared" si="2"/>
        <v>55.183248770185699</v>
      </c>
    </row>
    <row r="8" spans="1:14" ht="14.25" customHeight="1">
      <c r="A8" s="170">
        <v>1940</v>
      </c>
      <c r="B8" s="170" t="s">
        <v>125</v>
      </c>
      <c r="C8" s="168">
        <v>791</v>
      </c>
      <c r="D8" s="168">
        <v>914</v>
      </c>
      <c r="E8" s="168">
        <v>463</v>
      </c>
      <c r="F8" s="168">
        <v>19210</v>
      </c>
      <c r="G8" s="168"/>
      <c r="H8" s="168">
        <v>407</v>
      </c>
      <c r="I8" s="168">
        <v>647</v>
      </c>
      <c r="J8" s="168">
        <f t="shared" si="0"/>
        <v>22432</v>
      </c>
      <c r="K8" s="168">
        <f t="shared" si="1"/>
        <v>21509</v>
      </c>
      <c r="L8" s="168">
        <v>43941</v>
      </c>
      <c r="M8" s="171">
        <f t="shared" si="2"/>
        <v>48.949728044423203</v>
      </c>
    </row>
    <row r="9" spans="1:14" ht="14.25" customHeight="1">
      <c r="A9" s="170">
        <v>1950</v>
      </c>
      <c r="B9" s="170" t="s">
        <v>125</v>
      </c>
      <c r="C9" s="168">
        <v>1237</v>
      </c>
      <c r="D9" s="168">
        <v>1587</v>
      </c>
      <c r="E9" s="168">
        <v>707</v>
      </c>
      <c r="F9" s="168">
        <v>33541</v>
      </c>
      <c r="G9" s="168"/>
      <c r="H9" s="168">
        <v>688</v>
      </c>
      <c r="I9" s="168">
        <v>769</v>
      </c>
      <c r="J9" s="168">
        <f t="shared" si="0"/>
        <v>38529</v>
      </c>
      <c r="K9" s="168">
        <f t="shared" si="1"/>
        <v>19214</v>
      </c>
      <c r="L9" s="168">
        <v>57743</v>
      </c>
      <c r="M9" s="171">
        <f t="shared" si="2"/>
        <v>33.275029007845106</v>
      </c>
    </row>
    <row r="10" spans="1:14" ht="14.25" customHeight="1">
      <c r="A10" s="170">
        <v>1960</v>
      </c>
      <c r="B10" s="170" t="s">
        <v>125</v>
      </c>
      <c r="C10" s="168">
        <v>1600</v>
      </c>
      <c r="D10" s="168">
        <v>1519</v>
      </c>
      <c r="E10" s="168">
        <v>1033</v>
      </c>
      <c r="F10" s="168">
        <v>40400</v>
      </c>
      <c r="G10" s="168"/>
      <c r="H10" s="168">
        <v>902</v>
      </c>
      <c r="I10" s="168">
        <v>946</v>
      </c>
      <c r="J10" s="168">
        <f t="shared" si="0"/>
        <v>46400</v>
      </c>
      <c r="K10" s="168">
        <f t="shared" si="1"/>
        <v>38256</v>
      </c>
      <c r="L10" s="168">
        <v>84656</v>
      </c>
      <c r="M10" s="171">
        <f t="shared" si="2"/>
        <v>45.189945189945192</v>
      </c>
    </row>
    <row r="11" spans="1:14" ht="14.25" customHeight="1">
      <c r="A11" s="170">
        <v>1970</v>
      </c>
      <c r="B11" s="170" t="s">
        <v>125</v>
      </c>
      <c r="C11" s="168">
        <v>1707</v>
      </c>
      <c r="D11" s="168">
        <v>2302</v>
      </c>
      <c r="E11" s="168">
        <v>1199</v>
      </c>
      <c r="F11" s="168">
        <v>68908</v>
      </c>
      <c r="G11" s="168"/>
      <c r="H11" s="168">
        <v>1334</v>
      </c>
      <c r="I11" s="168">
        <v>1102</v>
      </c>
      <c r="J11" s="168">
        <f t="shared" si="0"/>
        <v>76552</v>
      </c>
      <c r="K11" s="168">
        <f t="shared" si="1"/>
        <v>35091</v>
      </c>
      <c r="L11" s="168">
        <v>111643</v>
      </c>
      <c r="M11" s="171">
        <f t="shared" si="2"/>
        <v>31.43143770769327</v>
      </c>
    </row>
    <row r="12" spans="1:14" ht="14.25" customHeight="1">
      <c r="A12" s="170">
        <v>1980</v>
      </c>
      <c r="B12" s="170" t="s">
        <v>125</v>
      </c>
      <c r="C12" s="168">
        <v>2923</v>
      </c>
      <c r="D12" s="168">
        <v>3712</v>
      </c>
      <c r="E12" s="168">
        <v>1253</v>
      </c>
      <c r="F12" s="168">
        <v>81961</v>
      </c>
      <c r="G12" s="168"/>
      <c r="H12" s="168">
        <v>2239</v>
      </c>
      <c r="I12" s="168">
        <v>1053</v>
      </c>
      <c r="J12" s="168">
        <f t="shared" si="0"/>
        <v>93141</v>
      </c>
      <c r="K12" s="168">
        <f t="shared" si="1"/>
        <v>56876</v>
      </c>
      <c r="L12" s="168">
        <v>150017</v>
      </c>
      <c r="M12" s="171">
        <f t="shared" si="2"/>
        <v>37.913036522527449</v>
      </c>
    </row>
    <row r="13" spans="1:14" ht="14.25" customHeight="1">
      <c r="A13" s="170">
        <v>1990</v>
      </c>
      <c r="B13" s="170" t="s">
        <v>125</v>
      </c>
      <c r="C13" s="172">
        <v>3213</v>
      </c>
      <c r="D13" s="168">
        <v>5429</v>
      </c>
      <c r="E13" s="168">
        <v>1292</v>
      </c>
      <c r="F13" s="168">
        <v>94440</v>
      </c>
      <c r="G13" s="168"/>
      <c r="H13" s="168">
        <v>4912</v>
      </c>
      <c r="I13" s="168">
        <v>1195</v>
      </c>
      <c r="J13" s="168">
        <f t="shared" si="0"/>
        <v>110481</v>
      </c>
      <c r="K13" s="168">
        <f t="shared" si="1"/>
        <v>54281</v>
      </c>
      <c r="L13" s="168">
        <v>164762</v>
      </c>
      <c r="M13" s="171">
        <f t="shared" si="2"/>
        <v>32.945096563527997</v>
      </c>
    </row>
    <row r="14" spans="1:14" ht="14.25" customHeight="1">
      <c r="A14" s="170">
        <v>1990</v>
      </c>
      <c r="B14" s="170" t="s">
        <v>126</v>
      </c>
      <c r="C14" s="172">
        <v>3213</v>
      </c>
      <c r="D14" s="168">
        <v>5518</v>
      </c>
      <c r="E14" s="168">
        <v>1292</v>
      </c>
      <c r="F14" s="168">
        <v>101865</v>
      </c>
      <c r="G14" s="168"/>
      <c r="H14" s="168">
        <v>4912</v>
      </c>
      <c r="I14" s="168">
        <v>1195</v>
      </c>
      <c r="J14" s="168">
        <f t="shared" si="0"/>
        <v>117995</v>
      </c>
      <c r="K14" s="168">
        <f t="shared" si="1"/>
        <v>46767</v>
      </c>
      <c r="L14" s="173">
        <v>164762</v>
      </c>
      <c r="M14" s="171">
        <f t="shared" si="2"/>
        <v>28.384578968451464</v>
      </c>
      <c r="N14" s="121"/>
    </row>
    <row r="15" spans="1:14" ht="14.25" customHeight="1">
      <c r="A15" s="170">
        <v>1991</v>
      </c>
      <c r="B15" s="170" t="s">
        <v>126</v>
      </c>
      <c r="C15" s="172">
        <v>3234.6191967415998</v>
      </c>
      <c r="D15" s="168">
        <v>5433.10946844724</v>
      </c>
      <c r="E15" s="168">
        <v>1288</v>
      </c>
      <c r="F15" s="168">
        <v>97023.4261158359</v>
      </c>
      <c r="G15" s="168"/>
      <c r="H15" s="174">
        <v>4912</v>
      </c>
      <c r="I15" s="168">
        <v>1214.1467116695101</v>
      </c>
      <c r="J15" s="168">
        <f t="shared" si="0"/>
        <v>113105.30149269426</v>
      </c>
      <c r="K15" s="168">
        <f t="shared" si="1"/>
        <v>53623.698507305744</v>
      </c>
      <c r="L15" s="173">
        <v>166729</v>
      </c>
      <c r="M15" s="171">
        <f t="shared" si="2"/>
        <v>32.162190445156959</v>
      </c>
      <c r="N15" s="121"/>
    </row>
    <row r="16" spans="1:14" ht="14.25" customHeight="1">
      <c r="A16" s="170">
        <v>1992</v>
      </c>
      <c r="B16" s="170" t="s">
        <v>126</v>
      </c>
      <c r="C16" s="172">
        <v>3223</v>
      </c>
      <c r="D16" s="168">
        <v>5596</v>
      </c>
      <c r="E16" s="168">
        <v>1330</v>
      </c>
      <c r="F16" s="168">
        <v>100567</v>
      </c>
      <c r="G16" s="168"/>
      <c r="H16" s="168">
        <v>5485</v>
      </c>
      <c r="I16" s="168">
        <v>1278</v>
      </c>
      <c r="J16" s="168">
        <f t="shared" si="0"/>
        <v>117479</v>
      </c>
      <c r="K16" s="168">
        <f t="shared" si="1"/>
        <v>52706</v>
      </c>
      <c r="L16" s="173">
        <v>170185</v>
      </c>
      <c r="M16" s="171">
        <f t="shared" si="2"/>
        <v>30.969826953021713</v>
      </c>
      <c r="N16" s="121"/>
    </row>
    <row r="17" spans="1:14" ht="14.25" customHeight="1">
      <c r="A17" s="170">
        <v>1993</v>
      </c>
      <c r="B17" s="170" t="s">
        <v>126</v>
      </c>
      <c r="C17" s="172">
        <v>3279</v>
      </c>
      <c r="D17" s="174">
        <v>5596</v>
      </c>
      <c r="E17" s="174">
        <v>1330</v>
      </c>
      <c r="F17" s="168">
        <v>103915</v>
      </c>
      <c r="G17" s="168"/>
      <c r="H17" s="168">
        <v>5583</v>
      </c>
      <c r="I17" s="168">
        <v>1316</v>
      </c>
      <c r="J17" s="168">
        <f t="shared" si="0"/>
        <v>121019</v>
      </c>
      <c r="K17" s="168">
        <f t="shared" si="1"/>
        <v>51174</v>
      </c>
      <c r="L17" s="173">
        <v>172193</v>
      </c>
      <c r="M17" s="171">
        <f t="shared" si="2"/>
        <v>29.718978123384804</v>
      </c>
      <c r="N17" s="121"/>
    </row>
    <row r="18" spans="1:14" ht="14.25" customHeight="1">
      <c r="A18" s="170">
        <v>1994</v>
      </c>
      <c r="B18" s="170" t="s">
        <v>126</v>
      </c>
      <c r="C18" s="172">
        <v>3578</v>
      </c>
      <c r="D18" s="174">
        <v>5596</v>
      </c>
      <c r="E18" s="168">
        <v>1369</v>
      </c>
      <c r="F18" s="168">
        <v>106829</v>
      </c>
      <c r="G18" s="168"/>
      <c r="H18" s="168">
        <v>5707</v>
      </c>
      <c r="I18" s="168">
        <v>1445</v>
      </c>
      <c r="J18" s="168">
        <f t="shared" si="0"/>
        <v>124524</v>
      </c>
      <c r="K18" s="168">
        <f t="shared" si="1"/>
        <v>51656</v>
      </c>
      <c r="L18" s="173">
        <v>176180</v>
      </c>
      <c r="M18" s="171">
        <f t="shared" si="2"/>
        <v>29.320013622431606</v>
      </c>
      <c r="N18" s="121"/>
    </row>
    <row r="19" spans="1:14" ht="14.25" customHeight="1">
      <c r="A19" s="170">
        <v>1995</v>
      </c>
      <c r="B19" s="170" t="s">
        <v>126</v>
      </c>
      <c r="C19" s="172">
        <v>3751</v>
      </c>
      <c r="D19" s="174">
        <v>5596</v>
      </c>
      <c r="E19" s="168">
        <v>1403</v>
      </c>
      <c r="F19" s="168">
        <v>108635</v>
      </c>
      <c r="G19" s="168"/>
      <c r="H19" s="168">
        <v>5945</v>
      </c>
      <c r="I19" s="168">
        <v>1577</v>
      </c>
      <c r="J19" s="168">
        <f t="shared" si="0"/>
        <v>126907</v>
      </c>
      <c r="K19" s="168">
        <f t="shared" si="1"/>
        <v>51398</v>
      </c>
      <c r="L19" s="173">
        <v>178305</v>
      </c>
      <c r="M19" s="171">
        <f t="shared" si="2"/>
        <v>28.825888225232042</v>
      </c>
      <c r="N19" s="121"/>
    </row>
    <row r="20" spans="1:14" ht="14.25" customHeight="1">
      <c r="A20" s="170">
        <v>1996</v>
      </c>
      <c r="B20" s="170" t="s">
        <v>126</v>
      </c>
      <c r="C20" s="172">
        <v>3925</v>
      </c>
      <c r="D20" s="174">
        <v>5596</v>
      </c>
      <c r="E20" s="168">
        <v>1511</v>
      </c>
      <c r="F20" s="168">
        <v>109957</v>
      </c>
      <c r="G20" s="168"/>
      <c r="H20" s="168">
        <v>6103</v>
      </c>
      <c r="I20" s="168">
        <v>1639</v>
      </c>
      <c r="J20" s="168">
        <f t="shared" si="0"/>
        <v>128731</v>
      </c>
      <c r="K20" s="168">
        <f t="shared" si="1"/>
        <v>51491</v>
      </c>
      <c r="L20" s="173">
        <v>180222</v>
      </c>
      <c r="M20" s="171">
        <f t="shared" si="2"/>
        <v>28.570873700214179</v>
      </c>
      <c r="N20" s="121"/>
    </row>
    <row r="21" spans="1:14" ht="14.25" customHeight="1">
      <c r="A21" s="170">
        <v>1997</v>
      </c>
      <c r="B21" s="170" t="s">
        <v>126</v>
      </c>
      <c r="C21" s="172">
        <v>4105</v>
      </c>
      <c r="D21" s="174">
        <v>5596</v>
      </c>
      <c r="E21" s="168">
        <v>1523</v>
      </c>
      <c r="F21" s="168">
        <v>112018</v>
      </c>
      <c r="G21" s="168"/>
      <c r="H21" s="168">
        <v>6229</v>
      </c>
      <c r="I21" s="168">
        <v>2024</v>
      </c>
      <c r="J21" s="168">
        <f t="shared" si="0"/>
        <v>131495</v>
      </c>
      <c r="K21" s="168">
        <f t="shared" si="1"/>
        <v>49868</v>
      </c>
      <c r="L21" s="173">
        <v>181363</v>
      </c>
      <c r="M21" s="171">
        <f t="shared" si="2"/>
        <v>27.496236828901154</v>
      </c>
      <c r="N21" s="121"/>
    </row>
    <row r="22" spans="1:14" ht="14.25" customHeight="1">
      <c r="A22" s="170">
        <v>1998</v>
      </c>
      <c r="B22" s="170" t="s">
        <v>126</v>
      </c>
      <c r="C22" s="172">
        <v>4332</v>
      </c>
      <c r="D22" s="174">
        <v>5596</v>
      </c>
      <c r="E22" s="168">
        <v>1584.7313259988421</v>
      </c>
      <c r="F22" s="168">
        <v>113788</v>
      </c>
      <c r="G22" s="168"/>
      <c r="H22" s="168">
        <v>6417</v>
      </c>
      <c r="I22" s="168">
        <v>2142</v>
      </c>
      <c r="J22" s="168">
        <f t="shared" si="0"/>
        <v>133859.73132599884</v>
      </c>
      <c r="K22" s="168">
        <f t="shared" si="1"/>
        <v>50661.268674001156</v>
      </c>
      <c r="L22" s="173">
        <v>184521</v>
      </c>
      <c r="M22" s="171">
        <f t="shared" si="2"/>
        <v>27.455557185361641</v>
      </c>
      <c r="N22" s="121"/>
    </row>
    <row r="23" spans="1:14" ht="14.25" customHeight="1">
      <c r="A23" s="170">
        <v>1999</v>
      </c>
      <c r="B23" s="170" t="s">
        <v>126</v>
      </c>
      <c r="C23" s="172">
        <v>4510</v>
      </c>
      <c r="D23" s="175">
        <v>6776</v>
      </c>
      <c r="E23" s="168">
        <v>1508.9501706484643</v>
      </c>
      <c r="F23" s="168">
        <v>118139</v>
      </c>
      <c r="G23" s="168"/>
      <c r="H23" s="168">
        <v>6634</v>
      </c>
      <c r="I23" s="168">
        <v>2617</v>
      </c>
      <c r="J23" s="168">
        <f t="shared" si="0"/>
        <v>140184.95017064846</v>
      </c>
      <c r="K23" s="168">
        <f t="shared" si="1"/>
        <v>46816.049829351541</v>
      </c>
      <c r="L23" s="173">
        <v>187001</v>
      </c>
      <c r="M23" s="171">
        <f t="shared" si="2"/>
        <v>25.035186886354371</v>
      </c>
      <c r="N23" s="121"/>
    </row>
    <row r="24" spans="1:14" ht="14.25" customHeight="1">
      <c r="A24" s="176">
        <v>2000</v>
      </c>
      <c r="B24" s="170" t="s">
        <v>125</v>
      </c>
      <c r="C24" s="177">
        <v>5874</v>
      </c>
      <c r="D24" s="177">
        <v>6120</v>
      </c>
      <c r="E24" s="177">
        <v>1387</v>
      </c>
      <c r="F24" s="177">
        <v>110257</v>
      </c>
      <c r="G24" s="168"/>
      <c r="H24" s="177">
        <v>7870</v>
      </c>
      <c r="I24" s="177">
        <v>3992</v>
      </c>
      <c r="J24" s="177">
        <f t="shared" si="0"/>
        <v>135500</v>
      </c>
      <c r="K24" s="177">
        <f t="shared" si="1"/>
        <v>55003</v>
      </c>
      <c r="L24" s="177">
        <v>190503</v>
      </c>
      <c r="M24" s="178">
        <f t="shared" si="2"/>
        <v>28.872511194049437</v>
      </c>
    </row>
    <row r="25" spans="1:14" ht="14.25" customHeight="1">
      <c r="A25" s="170">
        <v>2001</v>
      </c>
      <c r="B25" s="170" t="s">
        <v>126</v>
      </c>
      <c r="C25" s="168">
        <v>6077</v>
      </c>
      <c r="D25" s="168">
        <v>6120</v>
      </c>
      <c r="E25" s="168">
        <v>1387</v>
      </c>
      <c r="F25" s="168">
        <v>112281</v>
      </c>
      <c r="G25" s="168"/>
      <c r="H25" s="168">
        <v>8260</v>
      </c>
      <c r="I25" s="168">
        <v>4283</v>
      </c>
      <c r="J25" s="168">
        <f t="shared" si="0"/>
        <v>138408</v>
      </c>
      <c r="K25" s="168">
        <f t="shared" si="1"/>
        <v>52450</v>
      </c>
      <c r="L25" s="168">
        <v>190858</v>
      </c>
      <c r="M25" s="171">
        <f t="shared" si="2"/>
        <v>27.481164006748472</v>
      </c>
    </row>
    <row r="26" spans="1:14" ht="14.25" customHeight="1">
      <c r="A26" s="170">
        <v>2002</v>
      </c>
      <c r="B26" s="170" t="s">
        <v>126</v>
      </c>
      <c r="C26" s="168">
        <v>6213</v>
      </c>
      <c r="D26" s="168">
        <v>6120</v>
      </c>
      <c r="E26" s="168">
        <v>1394</v>
      </c>
      <c r="F26" s="168">
        <v>113325</v>
      </c>
      <c r="G26" s="168"/>
      <c r="H26" s="168">
        <v>8447</v>
      </c>
      <c r="I26" s="168">
        <v>4593</v>
      </c>
      <c r="J26" s="168">
        <f t="shared" si="0"/>
        <v>140092</v>
      </c>
      <c r="K26" s="168">
        <f t="shared" si="1"/>
        <v>51922</v>
      </c>
      <c r="L26" s="168">
        <v>192014</v>
      </c>
      <c r="M26" s="171">
        <f t="shared" si="2"/>
        <v>27.040736612955307</v>
      </c>
    </row>
    <row r="27" spans="1:14" ht="14.25" customHeight="1">
      <c r="A27" s="170">
        <v>2003</v>
      </c>
      <c r="B27" s="170" t="s">
        <v>126</v>
      </c>
      <c r="C27" s="168">
        <v>6418</v>
      </c>
      <c r="D27" s="168">
        <v>6167</v>
      </c>
      <c r="E27" s="168">
        <v>1394</v>
      </c>
      <c r="F27" s="168">
        <v>114626</v>
      </c>
      <c r="G27" s="168"/>
      <c r="H27" s="168">
        <v>8459</v>
      </c>
      <c r="I27" s="168">
        <v>4934</v>
      </c>
      <c r="J27" s="168">
        <f t="shared" si="0"/>
        <v>141998</v>
      </c>
      <c r="K27" s="168">
        <f t="shared" si="1"/>
        <v>52410</v>
      </c>
      <c r="L27" s="168">
        <v>194408</v>
      </c>
      <c r="M27" s="171">
        <f t="shared" si="2"/>
        <v>26.958767128924737</v>
      </c>
    </row>
    <row r="28" spans="1:14" ht="14.25" customHeight="1">
      <c r="A28" s="170">
        <v>2004</v>
      </c>
      <c r="B28" s="170" t="s">
        <v>126</v>
      </c>
      <c r="C28" s="168">
        <v>6812</v>
      </c>
      <c r="D28" s="168">
        <v>6180</v>
      </c>
      <c r="E28" s="168">
        <v>1393</v>
      </c>
      <c r="F28" s="168">
        <v>116613</v>
      </c>
      <c r="G28" s="168"/>
      <c r="H28" s="168">
        <v>8507</v>
      </c>
      <c r="I28" s="168">
        <v>5329</v>
      </c>
      <c r="J28" s="168">
        <f t="shared" si="0"/>
        <v>144834</v>
      </c>
      <c r="K28" s="168">
        <f t="shared" si="1"/>
        <v>50966</v>
      </c>
      <c r="L28" s="168">
        <v>195800</v>
      </c>
      <c r="M28" s="171">
        <f t="shared" si="2"/>
        <v>26.029622063329928</v>
      </c>
    </row>
    <row r="29" spans="1:14" ht="14.25" customHeight="1">
      <c r="A29" s="170">
        <v>2005</v>
      </c>
      <c r="B29" s="170" t="s">
        <v>126</v>
      </c>
      <c r="C29" s="168">
        <v>7110</v>
      </c>
      <c r="D29" s="168">
        <v>6351</v>
      </c>
      <c r="E29" s="168">
        <v>1432</v>
      </c>
      <c r="F29" s="168">
        <v>117653</v>
      </c>
      <c r="G29" s="168"/>
      <c r="H29" s="168">
        <v>8517</v>
      </c>
      <c r="I29" s="168">
        <v>5641</v>
      </c>
      <c r="J29" s="168">
        <f t="shared" si="0"/>
        <v>146704</v>
      </c>
      <c r="K29" s="168">
        <f t="shared" si="1"/>
        <v>50564</v>
      </c>
      <c r="L29" s="168">
        <v>197268</v>
      </c>
      <c r="M29" s="171">
        <f t="shared" si="2"/>
        <v>25.632134963602816</v>
      </c>
    </row>
    <row r="30" spans="1:14" ht="14.25" customHeight="1">
      <c r="A30" s="176">
        <v>2006</v>
      </c>
      <c r="B30" s="170" t="s">
        <v>126</v>
      </c>
      <c r="C30" s="177">
        <v>7391</v>
      </c>
      <c r="D30" s="177">
        <v>6891</v>
      </c>
      <c r="E30" s="177">
        <v>1432</v>
      </c>
      <c r="F30" s="177">
        <v>119485</v>
      </c>
      <c r="G30" s="168"/>
      <c r="H30" s="177">
        <v>8592</v>
      </c>
      <c r="I30" s="177">
        <v>6584</v>
      </c>
      <c r="J30" s="168">
        <f t="shared" si="0"/>
        <v>150375</v>
      </c>
      <c r="K30" s="168">
        <f t="shared" si="1"/>
        <v>52423</v>
      </c>
      <c r="L30" s="168">
        <v>202798</v>
      </c>
      <c r="M30" s="171">
        <f t="shared" si="2"/>
        <v>25.849860452272704</v>
      </c>
    </row>
    <row r="31" spans="1:14" ht="14.25" customHeight="1">
      <c r="A31" s="176">
        <v>2007</v>
      </c>
      <c r="B31" s="170" t="s">
        <v>126</v>
      </c>
      <c r="C31" s="177">
        <v>7629</v>
      </c>
      <c r="D31" s="177">
        <v>7007</v>
      </c>
      <c r="E31" s="177">
        <v>1436</v>
      </c>
      <c r="F31" s="177">
        <v>120835</v>
      </c>
      <c r="G31" s="168"/>
      <c r="H31" s="177">
        <v>8884</v>
      </c>
      <c r="I31" s="177">
        <v>6996</v>
      </c>
      <c r="J31" s="177">
        <f t="shared" si="0"/>
        <v>152787</v>
      </c>
      <c r="K31" s="177">
        <f t="shared" si="1"/>
        <v>58211</v>
      </c>
      <c r="L31" s="177">
        <v>210998</v>
      </c>
      <c r="M31" s="178">
        <f t="shared" si="2"/>
        <v>27.588413160314317</v>
      </c>
    </row>
    <row r="32" spans="1:14" ht="14.25" customHeight="1">
      <c r="A32" s="176">
        <v>2008</v>
      </c>
      <c r="B32" s="170" t="s">
        <v>126</v>
      </c>
      <c r="C32" s="168">
        <v>8079</v>
      </c>
      <c r="D32" s="168">
        <v>6852</v>
      </c>
      <c r="E32" s="168">
        <v>1440</v>
      </c>
      <c r="F32" s="168">
        <v>123326</v>
      </c>
      <c r="G32" s="168"/>
      <c r="H32" s="168">
        <v>8824</v>
      </c>
      <c r="I32" s="168">
        <v>7449</v>
      </c>
      <c r="J32" s="168">
        <f t="shared" si="0"/>
        <v>155970</v>
      </c>
      <c r="K32" s="168">
        <f t="shared" si="1"/>
        <v>53011</v>
      </c>
      <c r="L32" s="168">
        <v>208981</v>
      </c>
      <c r="M32" s="171">
        <f t="shared" si="2"/>
        <v>25.366420870796869</v>
      </c>
    </row>
    <row r="33" spans="1:14" ht="14.25" customHeight="1">
      <c r="A33" s="176">
        <v>2009</v>
      </c>
      <c r="B33" s="170" t="s">
        <v>126</v>
      </c>
      <c r="C33" s="168">
        <v>8079</v>
      </c>
      <c r="D33" s="168">
        <v>7006</v>
      </c>
      <c r="E33" s="168">
        <v>1440</v>
      </c>
      <c r="F33" s="168">
        <v>124153</v>
      </c>
      <c r="G33" s="168"/>
      <c r="H33" s="168">
        <v>8956</v>
      </c>
      <c r="I33" s="168">
        <v>8138</v>
      </c>
      <c r="J33" s="168">
        <f t="shared" si="0"/>
        <v>157772</v>
      </c>
      <c r="K33" s="168">
        <f t="shared" si="1"/>
        <v>54055</v>
      </c>
      <c r="L33" s="168">
        <v>211827</v>
      </c>
      <c r="M33" s="171">
        <f t="shared" si="2"/>
        <v>25.518465540275791</v>
      </c>
    </row>
    <row r="34" spans="1:14" ht="14.25" customHeight="1">
      <c r="A34" s="176">
        <v>2010</v>
      </c>
      <c r="B34" s="168" t="s">
        <v>125</v>
      </c>
      <c r="C34" s="179">
        <v>8197</v>
      </c>
      <c r="D34" s="179">
        <v>7526</v>
      </c>
      <c r="E34" s="179">
        <v>1716</v>
      </c>
      <c r="F34" s="179">
        <v>120623</v>
      </c>
      <c r="G34" s="168"/>
      <c r="H34" s="179">
        <v>8614</v>
      </c>
      <c r="I34" s="179">
        <v>8105</v>
      </c>
      <c r="J34" s="168">
        <f t="shared" si="0"/>
        <v>154781</v>
      </c>
      <c r="K34" s="168">
        <f t="shared" si="1"/>
        <v>66797</v>
      </c>
      <c r="L34" s="180">
        <v>221578</v>
      </c>
      <c r="M34" s="171">
        <f t="shared" si="2"/>
        <v>30.14604337975792</v>
      </c>
    </row>
    <row r="35" spans="1:14" ht="14.25" customHeight="1">
      <c r="A35" s="176">
        <v>2011</v>
      </c>
      <c r="B35" s="168" t="s">
        <v>125</v>
      </c>
      <c r="C35" s="167">
        <v>8302</v>
      </c>
      <c r="D35" s="167">
        <v>7623</v>
      </c>
      <c r="E35" s="181">
        <v>1716</v>
      </c>
      <c r="F35" s="167">
        <v>122130</v>
      </c>
      <c r="G35" s="168"/>
      <c r="H35" s="167">
        <v>8724</v>
      </c>
      <c r="I35" s="167">
        <v>8209</v>
      </c>
      <c r="J35" s="168">
        <f t="shared" si="0"/>
        <v>156704</v>
      </c>
      <c r="K35" s="168">
        <f t="shared" si="1"/>
        <v>67686</v>
      </c>
      <c r="L35" s="167">
        <v>224390</v>
      </c>
      <c r="M35" s="171">
        <f t="shared" si="2"/>
        <v>30.164445830919384</v>
      </c>
    </row>
    <row r="36" spans="1:14" ht="14.25" customHeight="1">
      <c r="A36" s="176">
        <v>2012</v>
      </c>
      <c r="B36" s="168" t="s">
        <v>125</v>
      </c>
      <c r="C36" s="167">
        <v>8625</v>
      </c>
      <c r="D36" s="167">
        <v>8082</v>
      </c>
      <c r="E36" s="179">
        <v>1728</v>
      </c>
      <c r="F36" s="167">
        <v>122761</v>
      </c>
      <c r="G36" s="168"/>
      <c r="H36" s="167">
        <v>8760</v>
      </c>
      <c r="I36" s="167">
        <v>8985</v>
      </c>
      <c r="J36" s="168">
        <f>C36+D36+E36+F36+H36+I36</f>
        <v>158941</v>
      </c>
      <c r="K36" s="168">
        <f t="shared" si="1"/>
        <v>68114</v>
      </c>
      <c r="L36" s="167">
        <v>227055</v>
      </c>
      <c r="M36" s="171">
        <f t="shared" si="2"/>
        <v>29.998898945189488</v>
      </c>
    </row>
    <row r="37" spans="1:14" ht="14.25" customHeight="1">
      <c r="A37" s="176">
        <v>2013</v>
      </c>
      <c r="B37" s="168" t="s">
        <v>126</v>
      </c>
      <c r="C37" s="167">
        <v>8197</v>
      </c>
      <c r="D37" s="167">
        <v>8047</v>
      </c>
      <c r="E37" s="179">
        <v>1716</v>
      </c>
      <c r="F37" s="167">
        <v>126227</v>
      </c>
      <c r="G37" s="168"/>
      <c r="H37" s="167">
        <v>8719</v>
      </c>
      <c r="I37" s="167">
        <v>11055</v>
      </c>
      <c r="J37" s="168">
        <f>C37+D37+E37+F37+H37+I37</f>
        <v>163961</v>
      </c>
      <c r="K37" s="168">
        <f t="shared" si="1"/>
        <v>65119</v>
      </c>
      <c r="L37" s="167">
        <v>229080</v>
      </c>
      <c r="M37" s="171">
        <f t="shared" si="2"/>
        <v>28.426313951458006</v>
      </c>
    </row>
    <row r="38" spans="1:14" ht="14.25" customHeight="1">
      <c r="A38" s="176">
        <v>2014</v>
      </c>
      <c r="B38" s="168" t="s">
        <v>126</v>
      </c>
      <c r="C38" s="167">
        <v>10260</v>
      </c>
      <c r="D38" s="167">
        <v>8407</v>
      </c>
      <c r="E38" s="179">
        <v>1776</v>
      </c>
      <c r="F38" s="167">
        <v>127154</v>
      </c>
      <c r="G38" s="168"/>
      <c r="H38" s="167">
        <v>8870</v>
      </c>
      <c r="I38" s="167">
        <v>11842</v>
      </c>
      <c r="J38" s="168">
        <f>C38+D38+E38+F38+H38+I38</f>
        <v>168309</v>
      </c>
      <c r="K38" s="168">
        <f t="shared" si="1"/>
        <v>66252</v>
      </c>
      <c r="L38" s="167">
        <v>234561</v>
      </c>
      <c r="M38" s="171">
        <f t="shared" si="2"/>
        <v>28.245104684922044</v>
      </c>
    </row>
    <row r="39" spans="1:14" ht="14.25" customHeight="1">
      <c r="A39" s="176">
        <v>2015</v>
      </c>
      <c r="B39" s="168" t="s">
        <v>126</v>
      </c>
      <c r="C39" s="168"/>
      <c r="D39" s="168"/>
      <c r="E39" s="168"/>
      <c r="F39" s="167">
        <v>128551</v>
      </c>
      <c r="G39" s="167"/>
      <c r="H39" s="168"/>
      <c r="I39" s="167"/>
      <c r="J39" s="120">
        <f>SUM(C39,D39,E39,F39,H39,I39,)</f>
        <v>128551</v>
      </c>
      <c r="K39" s="168"/>
      <c r="L39" s="167">
        <v>238586</v>
      </c>
      <c r="M39" s="171"/>
    </row>
    <row r="40" spans="1:14" ht="14.25" customHeight="1">
      <c r="A40" s="176">
        <v>2016</v>
      </c>
      <c r="B40" s="168" t="s">
        <v>126</v>
      </c>
      <c r="C40" s="167">
        <v>11012</v>
      </c>
      <c r="D40" s="167">
        <v>8940</v>
      </c>
      <c r="E40" s="179">
        <v>1530</v>
      </c>
      <c r="F40" s="167">
        <v>130422</v>
      </c>
      <c r="G40" s="167"/>
      <c r="H40" s="167">
        <v>8938</v>
      </c>
      <c r="I40" s="167">
        <v>11842</v>
      </c>
      <c r="J40" s="120">
        <f>SUM(C40,D40,E40,F40,H40,I40,)</f>
        <v>172684</v>
      </c>
      <c r="K40" s="168"/>
      <c r="L40" s="167"/>
      <c r="M40" s="171"/>
    </row>
    <row r="41" spans="1:14" ht="14.25" customHeight="1">
      <c r="A41" s="176">
        <v>2017</v>
      </c>
      <c r="B41" s="168" t="s">
        <v>126</v>
      </c>
      <c r="C41" s="167">
        <v>11012</v>
      </c>
      <c r="D41" s="167">
        <v>9220</v>
      </c>
      <c r="E41" s="179">
        <v>1530</v>
      </c>
      <c r="F41" s="167">
        <v>132272</v>
      </c>
      <c r="G41" s="167"/>
      <c r="H41" s="167">
        <v>8938</v>
      </c>
      <c r="I41" s="167">
        <v>11842</v>
      </c>
      <c r="J41" s="120">
        <f>SUM(C41,D41,E41,F41,H41,I41,)</f>
        <v>174814</v>
      </c>
      <c r="K41" s="168">
        <f>L41-J41</f>
        <v>67617</v>
      </c>
      <c r="L41" s="168">
        <v>242431</v>
      </c>
      <c r="M41" s="171"/>
    </row>
    <row r="42" spans="1:14" ht="14.25" customHeight="1">
      <c r="A42" s="169" t="s">
        <v>127</v>
      </c>
      <c r="B42" s="168"/>
      <c r="C42" s="168"/>
      <c r="D42" s="168"/>
      <c r="E42" s="168"/>
      <c r="F42" s="172"/>
      <c r="G42" s="172"/>
      <c r="H42" s="182"/>
      <c r="I42" s="172"/>
      <c r="J42" s="172"/>
      <c r="K42" s="172"/>
      <c r="L42" s="172"/>
      <c r="M42" s="168"/>
    </row>
    <row r="43" spans="1:14" ht="14.25" customHeight="1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</row>
    <row r="44" spans="1:14" ht="14.25" customHeight="1">
      <c r="A44" s="168"/>
      <c r="B44" s="168"/>
      <c r="C44" s="168"/>
      <c r="D44" s="168"/>
      <c r="E44" s="168"/>
      <c r="F44" s="183">
        <f>((F41/F24)^(1/18))-1</f>
        <v>1.0165005325245335E-2</v>
      </c>
      <c r="G44" s="168" t="s">
        <v>128</v>
      </c>
      <c r="H44" s="168"/>
      <c r="I44" s="168"/>
      <c r="J44" s="168"/>
      <c r="K44" s="168"/>
      <c r="L44" s="168"/>
      <c r="M44" s="168"/>
    </row>
    <row r="45" spans="1:14" ht="14.25" customHeight="1">
      <c r="A45" s="168"/>
      <c r="B45" s="168"/>
      <c r="C45" s="168"/>
      <c r="D45" s="168"/>
      <c r="E45" s="168"/>
      <c r="F45" s="184">
        <f>SUM((F41-F14)/F41)</f>
        <v>0.22988236361437039</v>
      </c>
      <c r="G45" s="168" t="s">
        <v>129</v>
      </c>
      <c r="H45" s="168"/>
      <c r="I45" s="168"/>
      <c r="J45" s="168"/>
      <c r="K45" s="168"/>
      <c r="L45" s="168"/>
      <c r="M45" s="166" t="s">
        <v>258</v>
      </c>
      <c r="N45" s="166"/>
    </row>
    <row r="46" spans="1:14" ht="14.25" customHeight="1"/>
    <row r="47" spans="1:14" ht="14.25" customHeight="1">
      <c r="B47" s="124"/>
      <c r="C47" s="122"/>
    </row>
    <row r="48" spans="1:14" ht="14.25" customHeight="1">
      <c r="B48" s="124"/>
      <c r="C48" s="122"/>
    </row>
    <row r="49" spans="2:3" ht="14.25" customHeight="1">
      <c r="B49" s="124"/>
      <c r="C49" s="122"/>
    </row>
    <row r="50" spans="2:3" ht="14.25" customHeight="1">
      <c r="B50" s="124"/>
      <c r="C50" s="122"/>
    </row>
    <row r="51" spans="2:3" ht="14.25" customHeight="1">
      <c r="B51" s="124"/>
      <c r="C51" s="122"/>
    </row>
    <row r="52" spans="2:3" ht="14.25" customHeight="1">
      <c r="B52" s="124"/>
      <c r="C52" s="122"/>
    </row>
    <row r="53" spans="2:3" ht="14.25" customHeight="1">
      <c r="B53" s="125"/>
      <c r="C53" s="123"/>
    </row>
    <row r="54" spans="2:3">
      <c r="B54" s="125"/>
      <c r="C54" s="123"/>
    </row>
    <row r="55" spans="2:3">
      <c r="B55" s="125"/>
      <c r="C55" s="123"/>
    </row>
  </sheetData>
  <pageMargins left="0.25" right="0.25" top="0.25" bottom="0.25" header="0.3" footer="0.3"/>
  <pageSetup paperSize="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35"/>
  <sheetViews>
    <sheetView view="pageBreakPreview" topLeftCell="A10" zoomScale="60" zoomScaleNormal="100" workbookViewId="0">
      <selection activeCell="Y43" sqref="Y43"/>
    </sheetView>
  </sheetViews>
  <sheetFormatPr defaultColWidth="9.140625" defaultRowHeight="15"/>
  <cols>
    <col min="1" max="1" width="20" style="52" customWidth="1"/>
    <col min="2" max="256" width="8" style="52" customWidth="1"/>
    <col min="257" max="16384" width="9.140625" style="52"/>
  </cols>
  <sheetData>
    <row r="1" spans="1:16" ht="15.75">
      <c r="A1" s="682" t="s">
        <v>28</v>
      </c>
      <c r="B1" s="680"/>
      <c r="C1" s="680"/>
      <c r="D1" s="680"/>
      <c r="E1" s="680"/>
      <c r="F1" s="680"/>
    </row>
    <row r="2" spans="1:16" ht="15.75">
      <c r="A2" s="682" t="s">
        <v>29</v>
      </c>
      <c r="B2" s="680"/>
      <c r="C2" s="680"/>
      <c r="D2" s="680"/>
      <c r="E2" s="680"/>
      <c r="F2" s="680"/>
    </row>
    <row r="3" spans="1:16">
      <c r="A3" s="680"/>
      <c r="B3" s="680"/>
      <c r="C3" s="680"/>
      <c r="D3" s="680"/>
      <c r="E3" s="680"/>
      <c r="F3" s="680"/>
    </row>
    <row r="4" spans="1:16">
      <c r="A4" s="53" t="s">
        <v>30</v>
      </c>
      <c r="B4" s="679" t="s">
        <v>54</v>
      </c>
      <c r="C4" s="680"/>
      <c r="D4" s="680"/>
      <c r="E4" s="680"/>
      <c r="F4" s="680"/>
    </row>
    <row r="5" spans="1:16">
      <c r="A5" s="683" t="s">
        <v>53</v>
      </c>
      <c r="B5" s="680"/>
      <c r="C5" s="680"/>
      <c r="D5" s="680"/>
      <c r="E5" s="680"/>
      <c r="F5" s="680"/>
    </row>
    <row r="6" spans="1:16">
      <c r="A6" s="53" t="s">
        <v>31</v>
      </c>
      <c r="B6" s="679" t="s">
        <v>32</v>
      </c>
      <c r="C6" s="680"/>
      <c r="D6" s="680"/>
      <c r="E6" s="680"/>
      <c r="F6" s="680"/>
    </row>
    <row r="7" spans="1:16">
      <c r="A7" s="53" t="s">
        <v>33</v>
      </c>
      <c r="B7" s="679" t="s">
        <v>34</v>
      </c>
      <c r="C7" s="680"/>
      <c r="D7" s="680"/>
      <c r="E7" s="680"/>
      <c r="F7" s="680"/>
    </row>
    <row r="8" spans="1:16">
      <c r="A8" s="53" t="s">
        <v>35</v>
      </c>
      <c r="B8" s="679" t="s">
        <v>36</v>
      </c>
      <c r="C8" s="680"/>
      <c r="D8" s="680"/>
      <c r="E8" s="680"/>
      <c r="F8" s="680"/>
    </row>
    <row r="9" spans="1:16">
      <c r="A9" s="53" t="s">
        <v>37</v>
      </c>
      <c r="B9" s="681" t="s">
        <v>61</v>
      </c>
      <c r="C9" s="680"/>
      <c r="D9" s="680"/>
      <c r="E9" s="680"/>
      <c r="F9" s="680"/>
    </row>
    <row r="11" spans="1:16" ht="15.75" thickBot="1">
      <c r="A11" s="54" t="s">
        <v>17</v>
      </c>
      <c r="B11" s="54" t="s">
        <v>38</v>
      </c>
      <c r="C11" s="54" t="s">
        <v>39</v>
      </c>
      <c r="D11" s="54" t="s">
        <v>40</v>
      </c>
      <c r="E11" s="54" t="s">
        <v>41</v>
      </c>
      <c r="F11" s="54" t="s">
        <v>42</v>
      </c>
      <c r="G11" s="54" t="s">
        <v>43</v>
      </c>
      <c r="H11" s="54" t="s">
        <v>44</v>
      </c>
      <c r="I11" s="54" t="s">
        <v>45</v>
      </c>
      <c r="J11" s="54" t="s">
        <v>46</v>
      </c>
      <c r="K11" s="54" t="s">
        <v>47</v>
      </c>
      <c r="L11" s="54" t="s">
        <v>48</v>
      </c>
      <c r="M11" s="54" t="s">
        <v>49</v>
      </c>
      <c r="N11" s="54" t="s">
        <v>20</v>
      </c>
      <c r="O11" s="54" t="s">
        <v>50</v>
      </c>
      <c r="P11" s="54" t="s">
        <v>51</v>
      </c>
    </row>
    <row r="12" spans="1:16" ht="15.75" thickTop="1">
      <c r="A12" s="55">
        <v>2005</v>
      </c>
      <c r="B12" s="56">
        <v>191.6</v>
      </c>
      <c r="C12" s="56">
        <v>192.4</v>
      </c>
      <c r="D12" s="56">
        <v>193.1</v>
      </c>
      <c r="E12" s="56">
        <v>193.7</v>
      </c>
      <c r="F12" s="56">
        <v>193.6</v>
      </c>
      <c r="G12" s="56">
        <v>193.7</v>
      </c>
      <c r="H12" s="56">
        <v>194.9</v>
      </c>
      <c r="I12" s="56">
        <v>196.1</v>
      </c>
      <c r="J12" s="56">
        <v>198.8</v>
      </c>
      <c r="K12" s="56">
        <v>199.1</v>
      </c>
      <c r="L12" s="56">
        <v>198.1</v>
      </c>
      <c r="M12" s="56">
        <v>198.1</v>
      </c>
      <c r="N12" s="57">
        <v>195.26666666666665</v>
      </c>
    </row>
    <row r="13" spans="1:16">
      <c r="A13" s="55">
        <v>2006</v>
      </c>
      <c r="B13" s="56">
        <v>199.3</v>
      </c>
      <c r="C13" s="56">
        <v>199.4</v>
      </c>
      <c r="D13" s="56">
        <v>199.7</v>
      </c>
      <c r="E13" s="56">
        <v>200.7</v>
      </c>
      <c r="F13" s="56">
        <v>201.3</v>
      </c>
      <c r="G13" s="56">
        <v>201.8</v>
      </c>
      <c r="H13" s="56">
        <v>202.9</v>
      </c>
      <c r="I13" s="56">
        <v>203.8</v>
      </c>
      <c r="J13" s="56">
        <v>202.8</v>
      </c>
      <c r="K13" s="56">
        <v>201.9</v>
      </c>
      <c r="L13" s="56">
        <v>202</v>
      </c>
      <c r="M13" s="56">
        <v>203.1</v>
      </c>
      <c r="N13" s="58">
        <v>201.55833333333337</v>
      </c>
    </row>
    <row r="14" spans="1:16">
      <c r="A14" s="55">
        <v>2007</v>
      </c>
      <c r="B14" s="56">
        <v>203.43700000000001</v>
      </c>
      <c r="C14" s="56">
        <v>204.226</v>
      </c>
      <c r="D14" s="56">
        <v>205.28800000000001</v>
      </c>
      <c r="E14" s="56">
        <v>205.904</v>
      </c>
      <c r="F14" s="56">
        <v>206.755</v>
      </c>
      <c r="G14" s="56">
        <v>207.23400000000001</v>
      </c>
      <c r="H14" s="56">
        <v>207.60300000000001</v>
      </c>
      <c r="I14" s="56">
        <v>207.667</v>
      </c>
      <c r="J14" s="56">
        <v>208.547</v>
      </c>
      <c r="K14" s="56">
        <v>209.19</v>
      </c>
      <c r="L14" s="56">
        <v>210.834</v>
      </c>
      <c r="M14" s="56">
        <v>211.44499999999999</v>
      </c>
      <c r="N14" s="58">
        <v>207.34416666666667</v>
      </c>
    </row>
    <row r="15" spans="1:16">
      <c r="A15" s="55">
        <v>2008</v>
      </c>
      <c r="B15" s="56">
        <v>212.17400000000001</v>
      </c>
      <c r="C15" s="56">
        <v>212.68700000000001</v>
      </c>
      <c r="D15" s="56">
        <v>213.44800000000001</v>
      </c>
      <c r="E15" s="56">
        <v>213.94200000000001</v>
      </c>
      <c r="F15" s="56">
        <v>215.208</v>
      </c>
      <c r="G15" s="56">
        <v>217.46299999999999</v>
      </c>
      <c r="H15" s="56">
        <v>219.01599999999999</v>
      </c>
      <c r="I15" s="56">
        <v>218.69</v>
      </c>
      <c r="J15" s="56">
        <v>218.87700000000001</v>
      </c>
      <c r="K15" s="56">
        <v>216.995</v>
      </c>
      <c r="L15" s="56">
        <v>213.15299999999999</v>
      </c>
      <c r="M15" s="56">
        <v>211.398</v>
      </c>
      <c r="N15" s="57">
        <v>215.25424999999998</v>
      </c>
    </row>
    <row r="16" spans="1:16">
      <c r="A16" s="55">
        <v>2009</v>
      </c>
      <c r="B16" s="56">
        <v>211.93299999999999</v>
      </c>
      <c r="C16" s="56">
        <v>212.70500000000001</v>
      </c>
      <c r="D16" s="56">
        <v>212.495</v>
      </c>
      <c r="E16" s="56">
        <v>212.709</v>
      </c>
      <c r="F16" s="56">
        <v>213.02199999999999</v>
      </c>
      <c r="G16" s="56">
        <v>214.79</v>
      </c>
      <c r="H16" s="56">
        <v>214.726</v>
      </c>
      <c r="I16" s="56">
        <v>215.44499999999999</v>
      </c>
      <c r="J16" s="56">
        <v>215.86099999999999</v>
      </c>
      <c r="K16" s="56">
        <v>216.50899999999999</v>
      </c>
      <c r="L16" s="56">
        <v>217.23400000000001</v>
      </c>
      <c r="M16" s="56">
        <v>217.34700000000001</v>
      </c>
      <c r="N16" s="57">
        <v>214.56466666666668</v>
      </c>
    </row>
    <row r="17" spans="1:15">
      <c r="A17" s="55">
        <v>2010</v>
      </c>
      <c r="B17" s="56">
        <v>217.488</v>
      </c>
      <c r="C17" s="56">
        <v>217.28100000000001</v>
      </c>
      <c r="D17" s="56">
        <v>217.35300000000001</v>
      </c>
      <c r="E17" s="56">
        <v>217.40299999999999</v>
      </c>
      <c r="F17" s="56">
        <v>217.29</v>
      </c>
      <c r="G17" s="56">
        <v>217.19900000000001</v>
      </c>
      <c r="H17" s="56">
        <v>217.60499999999999</v>
      </c>
      <c r="I17" s="56">
        <v>217.923</v>
      </c>
      <c r="J17" s="56">
        <v>218.27500000000001</v>
      </c>
      <c r="K17" s="56">
        <v>219.035</v>
      </c>
      <c r="L17" s="56">
        <v>219.59</v>
      </c>
      <c r="M17" s="56">
        <v>220.47200000000001</v>
      </c>
      <c r="N17" s="57">
        <v>218.07616666666672</v>
      </c>
    </row>
    <row r="18" spans="1:15">
      <c r="A18" s="55">
        <v>2011</v>
      </c>
      <c r="B18" s="56">
        <v>221.148</v>
      </c>
      <c r="C18" s="56">
        <v>221.904</v>
      </c>
      <c r="D18" s="56">
        <v>223.04400000000001</v>
      </c>
      <c r="E18" s="56">
        <v>224.06</v>
      </c>
      <c r="F18" s="56">
        <v>224.869</v>
      </c>
      <c r="G18" s="56">
        <v>224.84100000000001</v>
      </c>
      <c r="H18" s="56">
        <v>225.41900000000001</v>
      </c>
      <c r="I18" s="56">
        <v>226.08199999999999</v>
      </c>
      <c r="J18" s="56">
        <v>226.67599999999999</v>
      </c>
      <c r="K18" s="56">
        <v>226.81100000000001</v>
      </c>
      <c r="L18" s="56">
        <v>227.15700000000001</v>
      </c>
      <c r="M18" s="56">
        <v>227.14500000000001</v>
      </c>
      <c r="N18" s="57">
        <v>224.92966666666669</v>
      </c>
    </row>
    <row r="19" spans="1:15">
      <c r="A19" s="55">
        <v>2012</v>
      </c>
      <c r="B19" s="56">
        <v>227.75899999999999</v>
      </c>
      <c r="C19" s="56">
        <v>228.285</v>
      </c>
      <c r="D19" s="56">
        <v>228.86600000000001</v>
      </c>
      <c r="E19" s="56">
        <v>229.172</v>
      </c>
      <c r="F19" s="56">
        <v>228.785</v>
      </c>
      <c r="G19" s="56">
        <v>228.626</v>
      </c>
      <c r="H19" s="56">
        <v>228.584</v>
      </c>
      <c r="I19" s="56">
        <v>229.911</v>
      </c>
      <c r="J19" s="56">
        <v>231.10400000000001</v>
      </c>
      <c r="K19" s="56">
        <v>231.74100000000001</v>
      </c>
      <c r="L19" s="56">
        <v>231.202</v>
      </c>
      <c r="M19" s="56">
        <v>231.16499999999999</v>
      </c>
      <c r="N19" s="57">
        <v>229.6</v>
      </c>
    </row>
    <row r="20" spans="1:15">
      <c r="A20" s="55">
        <v>2013</v>
      </c>
      <c r="B20" s="56">
        <v>231.44399999999999</v>
      </c>
      <c r="C20" s="56">
        <v>232.803</v>
      </c>
      <c r="D20" s="56">
        <v>232.245</v>
      </c>
      <c r="E20" s="56">
        <v>231.672</v>
      </c>
      <c r="F20" s="56">
        <v>231.99</v>
      </c>
      <c r="G20" s="56">
        <v>232.583</v>
      </c>
      <c r="H20" s="56">
        <v>232.98</v>
      </c>
      <c r="I20" s="56">
        <v>233.41300000000001</v>
      </c>
      <c r="J20" s="56">
        <v>233.773</v>
      </c>
      <c r="K20" s="56">
        <v>233.90299999999999</v>
      </c>
      <c r="L20" s="56">
        <v>234.03800000000001</v>
      </c>
      <c r="M20" s="56">
        <v>234.697</v>
      </c>
      <c r="N20" s="58">
        <v>232.96175000000002</v>
      </c>
    </row>
    <row r="21" spans="1:15">
      <c r="A21" s="55">
        <v>2014</v>
      </c>
      <c r="B21" s="56">
        <v>235.12799999999999</v>
      </c>
      <c r="C21" s="56">
        <v>235.35599999999999</v>
      </c>
      <c r="D21" s="56">
        <v>235.79</v>
      </c>
      <c r="E21" s="56">
        <v>236.24</v>
      </c>
      <c r="F21" s="56">
        <v>236.95</v>
      </c>
      <c r="G21" s="56">
        <v>237.34800000000001</v>
      </c>
      <c r="H21" s="56">
        <v>237.596</v>
      </c>
      <c r="I21" s="56">
        <v>237.40899999999999</v>
      </c>
      <c r="J21" s="56">
        <v>237.626</v>
      </c>
      <c r="K21" s="56">
        <v>237.75299999999999</v>
      </c>
      <c r="L21" s="56">
        <v>237.06700000000001</v>
      </c>
      <c r="M21" s="56">
        <v>236.28399999999999</v>
      </c>
      <c r="N21" s="57">
        <v>236.71225000000004</v>
      </c>
    </row>
    <row r="22" spans="1:15">
      <c r="A22" s="55">
        <v>2015</v>
      </c>
      <c r="B22" s="56">
        <v>234.67699999999999</v>
      </c>
      <c r="C22" s="56">
        <v>235.18600000000001</v>
      </c>
      <c r="D22" s="56">
        <v>235.74</v>
      </c>
      <c r="E22" s="56">
        <v>235.982</v>
      </c>
      <c r="F22" s="119">
        <v>236.89099999999999</v>
      </c>
      <c r="G22" s="119">
        <v>237.41900000000001</v>
      </c>
      <c r="H22" s="119">
        <v>237.876</v>
      </c>
      <c r="I22" s="119">
        <v>237.81100000000001</v>
      </c>
      <c r="J22" s="119">
        <v>237.46700000000001</v>
      </c>
      <c r="K22" s="119">
        <v>237.792</v>
      </c>
      <c r="L22" s="119">
        <v>238.15299999999999</v>
      </c>
      <c r="M22" s="119">
        <v>237.846</v>
      </c>
      <c r="N22" s="57">
        <v>236.90333333333331</v>
      </c>
    </row>
    <row r="23" spans="1:15" s="112" customFormat="1">
      <c r="A23" s="55">
        <v>2016</v>
      </c>
      <c r="B23" s="56">
        <v>238.10599999999999</v>
      </c>
      <c r="C23" s="56">
        <v>237.80799999999999</v>
      </c>
      <c r="D23" s="56">
        <v>238.078</v>
      </c>
      <c r="E23" s="56">
        <v>238.90799999999999</v>
      </c>
      <c r="F23" s="56">
        <v>239.36199999999999</v>
      </c>
      <c r="G23" s="56">
        <v>239.84200000000001</v>
      </c>
      <c r="H23" s="56">
        <v>239.898</v>
      </c>
      <c r="I23" s="56">
        <v>240.38900000000001</v>
      </c>
      <c r="J23" s="56">
        <v>241.006</v>
      </c>
      <c r="K23" s="56">
        <v>241.69399999999999</v>
      </c>
      <c r="L23" s="56">
        <v>242.19900000000001</v>
      </c>
      <c r="M23" s="56">
        <v>242.821</v>
      </c>
      <c r="N23" s="57">
        <v>240.00924999999998</v>
      </c>
    </row>
    <row r="24" spans="1:15" s="191" customFormat="1">
      <c r="A24" s="55">
        <v>2017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7"/>
      <c r="O24" s="198"/>
    </row>
    <row r="26" spans="1:15">
      <c r="A26" s="678" t="s">
        <v>62</v>
      </c>
      <c r="B26" s="678"/>
    </row>
    <row r="27" spans="1:15">
      <c r="A27" s="70" t="s">
        <v>84</v>
      </c>
      <c r="B27" s="71">
        <f>E22/N13</f>
        <v>1.1707876131806341</v>
      </c>
    </row>
    <row r="28" spans="1:15">
      <c r="A28" s="70" t="s">
        <v>55</v>
      </c>
      <c r="B28" s="71">
        <f>E22/N14</f>
        <v>1.1381173813265384</v>
      </c>
    </row>
    <row r="29" spans="1:15">
      <c r="A29" s="46" t="s">
        <v>52</v>
      </c>
      <c r="B29" s="72">
        <f>E22/N20</f>
        <v>1.012964574656569</v>
      </c>
    </row>
    <row r="30" spans="1:15">
      <c r="A30" s="46"/>
      <c r="B30" s="72"/>
    </row>
    <row r="31" spans="1:15">
      <c r="A31" s="678" t="s">
        <v>112</v>
      </c>
      <c r="B31" s="678"/>
    </row>
    <row r="32" spans="1:15">
      <c r="A32" s="70" t="s">
        <v>84</v>
      </c>
      <c r="B32" s="71">
        <f>N23/N14</f>
        <v>1.1575404018278788</v>
      </c>
    </row>
    <row r="33" spans="1:15">
      <c r="A33" s="70" t="s">
        <v>55</v>
      </c>
      <c r="B33" s="71">
        <f>N23/N14</f>
        <v>1.1575404018278788</v>
      </c>
    </row>
    <row r="34" spans="1:15">
      <c r="A34" s="46" t="s">
        <v>144</v>
      </c>
      <c r="B34" s="71">
        <f>N23/N19</f>
        <v>1.0453364547038326</v>
      </c>
    </row>
    <row r="35" spans="1:15" ht="15.75">
      <c r="A35" s="46" t="s">
        <v>52</v>
      </c>
      <c r="B35" s="72">
        <f>N23/N20</f>
        <v>1.0302517473362041</v>
      </c>
      <c r="O35" s="165" t="s">
        <v>172</v>
      </c>
    </row>
  </sheetData>
  <mergeCells count="11">
    <mergeCell ref="B6:F6"/>
    <mergeCell ref="A1:F1"/>
    <mergeCell ref="A2:F2"/>
    <mergeCell ref="A3:F3"/>
    <mergeCell ref="B4:F4"/>
    <mergeCell ref="A5:F5"/>
    <mergeCell ref="A31:B31"/>
    <mergeCell ref="B7:F7"/>
    <mergeCell ref="B8:F8"/>
    <mergeCell ref="B9:F9"/>
    <mergeCell ref="A26:B26"/>
  </mergeCells>
  <pageMargins left="0.7" right="0.7" top="0.75" bottom="0.75" header="0.3" footer="0.3"/>
  <pageSetup paperSize="3" fitToHeight="0" orientation="landscape" r:id="rId1"/>
  <headerFooter>
    <oddHeader>&amp;CBureau of Labor Statistics</oddHeader>
    <oddFooter>&amp;LSource: Bureau of Labor Statistics&amp;RGenerated on: October 15,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BCA Summary</vt:lpstr>
      <vt:lpstr>Safety</vt:lpstr>
      <vt:lpstr>State of Good Repair</vt:lpstr>
      <vt:lpstr>Economic Competitiveness</vt:lpstr>
      <vt:lpstr>Environmental Sustainability</vt:lpstr>
      <vt:lpstr>Quality of Life</vt:lpstr>
      <vt:lpstr>Capital Costs</vt:lpstr>
      <vt:lpstr>Population Figures</vt:lpstr>
      <vt:lpstr>BLS Data Series</vt:lpstr>
      <vt:lpstr>Crash Analysis</vt:lpstr>
      <vt:lpstr>Sales Tax and EDD Revenues</vt:lpstr>
      <vt:lpstr>'BCA Summary'!Print_Area</vt:lpstr>
      <vt:lpstr>'BLS Data Series'!Print_Area</vt:lpstr>
      <vt:lpstr>'Capital Costs'!Print_Area</vt:lpstr>
      <vt:lpstr>'Economic Competitiveness'!Print_Area</vt:lpstr>
      <vt:lpstr>'Environmental Sustainability'!Print_Area</vt:lpstr>
      <vt:lpstr>'Population Figures'!Print_Area</vt:lpstr>
      <vt:lpstr>'Quality of Life'!Print_Area</vt:lpstr>
      <vt:lpstr>Safety!Print_Area</vt:lpstr>
      <vt:lpstr>'Sales Tax and EDD Revenues'!Print_Area</vt:lpstr>
      <vt:lpstr>'State of Good Repair'!Print_Area</vt:lpstr>
    </vt:vector>
  </TitlesOfParts>
  <Company>SRF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Loos</dc:creator>
  <cp:lastModifiedBy>Neil T. Lebouef</cp:lastModifiedBy>
  <cp:lastPrinted>2020-05-18T14:09:34Z</cp:lastPrinted>
  <dcterms:created xsi:type="dcterms:W3CDTF">2013-05-17T20:57:43Z</dcterms:created>
  <dcterms:modified xsi:type="dcterms:W3CDTF">2020-05-18T14:11:15Z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m_Crash_Cost" linkTarget="Prop_Dam_Crash_Cost">
    <vt:lpwstr>#REF!</vt:lpwstr>
  </property>
</Properties>
</file>